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2" activeTab="2"/>
  </bookViews>
  <sheets>
    <sheet name="зп 2017 (3)" sheetId="1" state="hidden" r:id="rId1"/>
    <sheet name="зп 2017 (2)" sheetId="2" state="hidden" r:id="rId2"/>
    <sheet name="Пояснювальна до бюджету (2)" sheetId="3" r:id="rId3"/>
    <sheet name="Пояснювальна до бюджету 2015" sheetId="4" state="hidden" r:id="rId4"/>
  </sheets>
  <externalReferences>
    <externalReference r:id="rId7"/>
    <externalReference r:id="rId8"/>
    <externalReference r:id="rId9"/>
  </externalReferences>
  <definedNames>
    <definedName name="_xlfn.BAHTTEXT" hidden="1">#NAME?</definedName>
    <definedName name="_xlnm._FilterDatabase" localSheetId="1" hidden="1">'зп 2017 (2)'!$A$5:$Z$126</definedName>
    <definedName name="_xlnm._FilterDatabase" localSheetId="0" hidden="1">'зп 2017 (3)'!$A$5:$Z$175</definedName>
    <definedName name="а">#REF!</definedName>
    <definedName name="б">#REF!</definedName>
    <definedName name="в">#REF!</definedName>
    <definedName name="г">#REF!</definedName>
    <definedName name="д">#REF!</definedName>
    <definedName name="е">#REF!</definedName>
    <definedName name="є">#REF!</definedName>
    <definedName name="ж">#REF!</definedName>
    <definedName name="з">#REF!</definedName>
    <definedName name="и">#REF!</definedName>
    <definedName name="й">#REF!</definedName>
    <definedName name="к">#REF!</definedName>
    <definedName name="л">#REF!</definedName>
    <definedName name="м">#REF!</definedName>
    <definedName name="н">#REF!</definedName>
    <definedName name="о">#REF!</definedName>
    <definedName name="_xlnm.Print_Area" localSheetId="1">'зп 2017 (2)'!$A$1:$Z$175</definedName>
    <definedName name="_xlnm.Print_Area" localSheetId="0">'зп 2017 (3)'!$A$1:$Z$202</definedName>
    <definedName name="_xlnm.Print_Area" localSheetId="2">'Пояснювальна до бюджету (2)'!$A$1:$T$109</definedName>
    <definedName name="_xlnm.Print_Area" localSheetId="3">'Пояснювальна до бюджету 2015'!$A$1:$J$83</definedName>
    <definedName name="п">#REF!</definedName>
    <definedName name="т">#REF!</definedName>
    <definedName name="у">#REF!</definedName>
    <definedName name="ц">#REF!</definedName>
    <definedName name="ь">#REF!</definedName>
    <definedName name="ю">#REF!</definedName>
    <definedName name="я">#REF!</definedName>
  </definedNames>
  <calcPr fullCalcOnLoad="1"/>
</workbook>
</file>

<file path=xl/sharedStrings.xml><?xml version="1.0" encoding="utf-8"?>
<sst xmlns="http://schemas.openxmlformats.org/spreadsheetml/2006/main" count="1253" uniqueCount="205">
  <si>
    <t>Україна</t>
  </si>
  <si>
    <t>Пояснювальна записка</t>
  </si>
  <si>
    <t>Підрозділ</t>
  </si>
  <si>
    <t>К-ть од.</t>
  </si>
  <si>
    <t>ФОП за посадовим окладом</t>
  </si>
  <si>
    <t>Матеріальна допомога на оздоровлення</t>
  </si>
  <si>
    <t>Річний ФОП</t>
  </si>
  <si>
    <t>Назва</t>
  </si>
  <si>
    <t>Код</t>
  </si>
  <si>
    <t>Ціна (грн.)</t>
  </si>
  <si>
    <t>Всього (грн.)</t>
  </si>
  <si>
    <t>Передплата періодичних видань</t>
  </si>
  <si>
    <t>Папір</t>
  </si>
  <si>
    <t>Х</t>
  </si>
  <si>
    <t>Ремонт комп’ютерної  техніки</t>
  </si>
  <si>
    <t>Заправка картриджів</t>
  </si>
  <si>
    <t>Послуги пошти</t>
  </si>
  <si>
    <t>Інші видатки</t>
  </si>
  <si>
    <t>Місце відрядження</t>
  </si>
  <si>
    <t>Кількість осіб</t>
  </si>
  <si>
    <t>Показник</t>
  </si>
  <si>
    <t xml:space="preserve">Потреба в асигнуваннях </t>
  </si>
  <si>
    <t>Підігрів води</t>
  </si>
  <si>
    <t>Водопос-тачання</t>
  </si>
  <si>
    <t>Водовід-ведення</t>
  </si>
  <si>
    <t>Кіль-кість</t>
  </si>
  <si>
    <t xml:space="preserve">Оплата  теплопостачання   </t>
  </si>
  <si>
    <t xml:space="preserve">Оплата   електроенергії   </t>
  </si>
  <si>
    <t xml:space="preserve">Головний бухгалтер                                                                     </t>
  </si>
  <si>
    <t>М.О.Сачава</t>
  </si>
  <si>
    <t>КФК 120300</t>
  </si>
  <si>
    <t>Загальний фонд</t>
  </si>
  <si>
    <t xml:space="preserve">Послуги Інтернету </t>
  </si>
  <si>
    <t>Обслуговування програми "Іспро"</t>
  </si>
  <si>
    <t>Добові</t>
  </si>
  <si>
    <t>Книговидання</t>
  </si>
  <si>
    <t>Тепло</t>
  </si>
  <si>
    <t>Директор</t>
  </si>
  <si>
    <t>ЧЕРНІГІВСЬКА  ОБЛАСНА  РАДА</t>
  </si>
  <si>
    <t>ПОШУКОВЕ  АГЕНСТВО</t>
  </si>
  <si>
    <t>по  створенню  науково - документальних  серіалів</t>
  </si>
  <si>
    <t>“КНИГА  ПАМ’ЯТІ”  та  “РЕАБІЛІТОВАНІ  ІСТОРІЄЮ”</t>
  </si>
  <si>
    <t>вул.Гетьмана Полуботка, 68, к.303, м.Чернігів, 14013, т. 67-51-69, код ЄДПРОУ 34018762</t>
  </si>
  <si>
    <t>Нарахування на оплату праці</t>
  </si>
  <si>
    <t>КЕКв 2120</t>
  </si>
  <si>
    <t>КЕКв 2110</t>
  </si>
  <si>
    <t>КЕКв 2210</t>
  </si>
  <si>
    <t>КЕКв 2240</t>
  </si>
  <si>
    <t>КЕКв 2800</t>
  </si>
  <si>
    <t>КЕКв 2250</t>
  </si>
  <si>
    <t>КЕКв 2270</t>
  </si>
  <si>
    <t>КЕКв 2271</t>
  </si>
  <si>
    <t>КЕКв 2272</t>
  </si>
  <si>
    <t>КЕКв 2273</t>
  </si>
  <si>
    <t>Оплата водопостачання та водовідведення</t>
  </si>
  <si>
    <t>КЕКв 2271 "Оплата тепло-постачання</t>
  </si>
  <si>
    <t>КЕКВ 2273 Оплата електро-енергії"</t>
  </si>
  <si>
    <t>Канцелярські товари, бланки документації, господарські товари</t>
  </si>
  <si>
    <t>Проїздні квитки</t>
  </si>
  <si>
    <t>Кількість</t>
  </si>
  <si>
    <t xml:space="preserve">Послуги обслуговування банку                            </t>
  </si>
  <si>
    <t>Послуги розміщення інформації на веб-сайті</t>
  </si>
  <si>
    <t>№</t>
  </si>
  <si>
    <t>Посада</t>
  </si>
  <si>
    <t>Піб</t>
  </si>
  <si>
    <t>Розряд</t>
  </si>
  <si>
    <t>Ставка</t>
  </si>
  <si>
    <t>Зміна до ставки</t>
  </si>
  <si>
    <t>Коеф.</t>
  </si>
  <si>
    <t>12</t>
  </si>
  <si>
    <t>Всього</t>
  </si>
  <si>
    <t>Всього з нарах.</t>
  </si>
  <si>
    <t>Головний бухгалтер</t>
  </si>
  <si>
    <t>Сачава</t>
  </si>
  <si>
    <t>14-10%</t>
  </si>
  <si>
    <t>Заступник директора</t>
  </si>
  <si>
    <t>Донченко</t>
  </si>
  <si>
    <t>Старший науковий редактор</t>
  </si>
  <si>
    <t>Самойленко</t>
  </si>
  <si>
    <t>Чаус І.К.</t>
  </si>
  <si>
    <t>Молодший науковий редактор</t>
  </si>
  <si>
    <t>Чикало І.М.</t>
  </si>
  <si>
    <t>Аскерова Л.С.</t>
  </si>
  <si>
    <t>Завідуючий відділом</t>
  </si>
  <si>
    <t>Смольська О.В.</t>
  </si>
  <si>
    <t>Цимбаленко І.М.</t>
  </si>
  <si>
    <t>х</t>
  </si>
  <si>
    <t>Страхування та оренда приміщення</t>
  </si>
  <si>
    <t>Розмір діючих тарифів станом на 01.01.2016 р. (з урахуванням коефіциєнтів)</t>
  </si>
  <si>
    <t>За наукове звання 15%</t>
  </si>
  <si>
    <t>Надбавка 30%</t>
  </si>
  <si>
    <t>Книга "Чернігівська губернія в роки І світової війни"</t>
  </si>
  <si>
    <t>Світильники стельові</t>
  </si>
  <si>
    <t>Книга "Звід памяток історії та культури України. Бахмацький район"</t>
  </si>
  <si>
    <t>Книга "Звід памяток історії та культури України. Боброровицький район"</t>
  </si>
  <si>
    <t>Послуги зв’язку 2 точки</t>
  </si>
  <si>
    <t>Послуги переддрукової підготовки книги  "Чернігівська губернія в роки І світової війни"</t>
  </si>
  <si>
    <t>Послуги переддрукової підготовки книги"Звід памяток історії та культури України. Бахмацький район"</t>
  </si>
  <si>
    <t>Послуги переддрукової підготовки книги  "Звід памяток історії та культури України. Боброровицький район"</t>
  </si>
  <si>
    <t>Послуги обробки цифрової інформації</t>
  </si>
  <si>
    <t>Транспортні послуги з метою обстеження памяток історії та культури (год.)- Ічня, Талалївка, Варва,</t>
  </si>
  <si>
    <t>Поточний ремонт підлоги  34.3 кв. (лінолеум-6000 грн., ДСП - 2100, цвяхи - 300,00 грн., послуги ремонту - 3600)</t>
  </si>
  <si>
    <t>Пеня</t>
  </si>
  <si>
    <t>Послуги держреєстратора</t>
  </si>
  <si>
    <t>Навчання по безпеці праці та пожбезпеці</t>
  </si>
  <si>
    <t>В.о. директора</t>
  </si>
  <si>
    <t>О.М.Потапенко</t>
  </si>
  <si>
    <t>до проеткту бюджету на 2017 рік</t>
  </si>
  <si>
    <t>Ліміт споживання на 2017 рік</t>
  </si>
  <si>
    <t>Розмір тарифів з урахуванням коригуючого коефіціента (тплопостачання - 1,1235; водопостачання - 1,09; електроенергія - 1,085)</t>
  </si>
  <si>
    <t>КЕКВ 2272 "Оплата водопостачання і водовідведення" м куб.</t>
  </si>
  <si>
    <t>І тарифний</t>
  </si>
  <si>
    <t>січень</t>
  </si>
  <si>
    <t>травень</t>
  </si>
  <si>
    <t>грудень</t>
  </si>
  <si>
    <t>14-5%</t>
  </si>
  <si>
    <t>Ілляшенко</t>
  </si>
  <si>
    <t>Сапрунова</t>
  </si>
  <si>
    <t>Потапенко</t>
  </si>
  <si>
    <t>Мултанен</t>
  </si>
  <si>
    <t>Науковий редактор</t>
  </si>
  <si>
    <t>Щербина</t>
  </si>
  <si>
    <t>Розрахунок потреби в заробітній платі на 2017 рік</t>
  </si>
  <si>
    <t>Надбавка 10%, 25%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</si>
  <si>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</si>
  <si>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</si>
  <si>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</si>
  <si>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</si>
  <si>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</si>
  <si>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</si>
  <si>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</si>
  <si>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</si>
  <si>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</si>
  <si>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</si>
  <si>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</si>
  <si>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Оклад</t>
  </si>
  <si>
    <t>Черненко</t>
  </si>
  <si>
    <t>Зеленюк</t>
  </si>
  <si>
    <t>Коваленко</t>
  </si>
  <si>
    <t>Надбавка за ступінь</t>
  </si>
  <si>
    <t xml:space="preserve">Надбавка </t>
  </si>
  <si>
    <t>Доплата до мінімальної</t>
  </si>
  <si>
    <t>Попок</t>
  </si>
  <si>
    <t>Афанасьєва Т.А.</t>
  </si>
  <si>
    <t>Матдопомога</t>
  </si>
  <si>
    <t>Паперові чи картонні реєстраційні журнали, бухгалтерські книги, швидкозшивачі, бланки та інші паперові канцелярські вироби</t>
  </si>
  <si>
    <t>Папір А4 (пач.)</t>
  </si>
  <si>
    <t>Джерела безперебійного живлення</t>
  </si>
  <si>
    <t>Вогнегасник</t>
  </si>
  <si>
    <t>Крісло офісне</t>
  </si>
  <si>
    <t>Корзина для сміття</t>
  </si>
  <si>
    <t>Тюль (м)</t>
  </si>
  <si>
    <t>Офісне устаткування та приладдя різне, канцелярські товари</t>
  </si>
  <si>
    <t>Замок врізний</t>
  </si>
  <si>
    <t>Вивіска адресна - 1 шт., таблички адресні - 4 шт.</t>
  </si>
  <si>
    <t>Передплата періодичних видань - річна («Бюджетна бухгалтерія», «Оплата праці», «Кадри і зарплата»)</t>
  </si>
  <si>
    <t>Технічне обслуговування вогнегасників</t>
  </si>
  <si>
    <t>Технічне обслуговування і ремонт  комп’ютерної  техніки</t>
  </si>
  <si>
    <t>Послуги із заправки картриджів</t>
  </si>
  <si>
    <t>Послуги Інтернету  2 точки</t>
  </si>
  <si>
    <t>Страхування та оренда приміщення (0,26% від балансової вартості - 566833,32 грн.)</t>
  </si>
  <si>
    <t>Послуги підтримки та обслуговування веб-сайту (www.memory-book.org.ua) - 1 рік</t>
  </si>
  <si>
    <t>Послуги обробки цифрової інформації (шт.)</t>
  </si>
  <si>
    <t>Відшкодування вивозу та знешкодження ТВП</t>
  </si>
  <si>
    <t>Відшкодування земельного податку</t>
  </si>
  <si>
    <t>Проживання</t>
  </si>
  <si>
    <t>Доплата за наукове звання 15%</t>
  </si>
  <si>
    <t>ПОГОДЖУЮ:</t>
  </si>
  <si>
    <t>А.Ф. Подорван</t>
  </si>
  <si>
    <t>"____"______________2017 р.</t>
  </si>
  <si>
    <t>Директор Департаменту  інформаційної діяльності та комунікацій з громадськістю Чернігівської ОДА</t>
  </si>
  <si>
    <t>КПКВК 0817213</t>
  </si>
  <si>
    <t>Підтримка книговидання</t>
  </si>
  <si>
    <t>Розрахунок</t>
  </si>
  <si>
    <t>вул. Гетьмана Полуботка, 68, к.303, м. Чернігів, 14013, т. 67-51-69, код ЄДПРОУ 34018762</t>
  </si>
  <si>
    <t>Книга "Звід пам’яток  історії та культури України. Бобровицький район"</t>
  </si>
  <si>
    <t>Обслуговування програми "ІСПРО"</t>
  </si>
  <si>
    <t>Проїзні квитки (поїзд)</t>
  </si>
  <si>
    <t>О.М. Потапенко</t>
  </si>
  <si>
    <t>М.О. Сачава</t>
  </si>
  <si>
    <t>Надбавка за складність, напруженість у роботі</t>
  </si>
  <si>
    <t>Надбавка за складність, напруженість у роботі 10%</t>
  </si>
  <si>
    <t>Надбавка за складність, напруженість у роботі 30%</t>
  </si>
  <si>
    <t>Проїзні квитки (автобус)</t>
  </si>
  <si>
    <t>Надбавка за складність, напруженість у роботі 40%</t>
  </si>
  <si>
    <t>Надбавка за складність, напруженість у роботі 50%</t>
  </si>
  <si>
    <t>показників видатків бюджету на 2018 рік</t>
  </si>
  <si>
    <t>Книга "Реабілітовані історією Чернігівська область. Книга 7"</t>
  </si>
  <si>
    <t>Книга "Звід пам’яток  історії та культури України. Талалївський район"</t>
  </si>
  <si>
    <t>Комп’ютерне обладнання</t>
  </si>
  <si>
    <t>Відшкодування витрат на прибирання</t>
  </si>
  <si>
    <t>Відшкодування витрат на утримання та  орендованого майна (електрик, сантехнік)</t>
  </si>
  <si>
    <t>Послуги комп’ютерної верстки книги  "Реабілітовані історією Чернігівська область. Книга 7"</t>
  </si>
  <si>
    <t>Послуги комп’ютерної верстки книги "Звід пам’яток  історії та культури України. Талалаївський район"</t>
  </si>
  <si>
    <t>Поточний ремонт приміщень</t>
  </si>
  <si>
    <t>Транспортні послуги з метою обстеження пам’яток  історії та культури - Коропський, Корюківський, Куликівський райони (км)</t>
  </si>
  <si>
    <t>КЕКв 2282</t>
  </si>
  <si>
    <t>Окремі заходи по реалізації державних (регіональних) програм, не віднесені до заходів розвитку</t>
  </si>
  <si>
    <t>Навчання по пожбезпеці (люд.)</t>
  </si>
  <si>
    <t>Навчання по безпеці життєдіяльності (люд)</t>
  </si>
  <si>
    <t>Проїзні квитки (тролейбус)</t>
  </si>
  <si>
    <t>Ліміт споживання на 2018 рік</t>
  </si>
  <si>
    <t xml:space="preserve">Розмір діючих тарифів станом на 01.10.2017 р. </t>
  </si>
  <si>
    <t>Розмір тарифів з урахуванням коригуючого коефіцієнта (теплопостачання - 1,09; водопостачання - 1,09; електроенергія - 1,1)</t>
  </si>
  <si>
    <t>Розмір тарифів з ПДВ балансоутримувачам (20%), втрати в електромережі( 2,4%)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</si>
</sst>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[Red]\-#,##0\ &quot;грн.&quot;"/>
    <numFmt numFmtId="165" formatCode="#,##0.00\ &quot;грн.&quot;;[Red]\-#,##0.00\ &quot;грн.&quot;"/>
    <numFmt numFmtId="166" formatCode="_-* #,##0\ &quot;грн.&quot;_-;\-* #,##0\ &quot;грн.&quot;_-;_-* &quot;-&quot;\ &quot;грн.&quot;_-;_-@_-"/>
    <numFmt numFmtId="167" formatCode="_-* #,##0\ _г_р_н_._-;\-* #,##0\ _г_р_н_._-;_-* &quot;-&quot;\ _г_р_н_._-;_-@_-"/>
    <numFmt numFmtId="168" formatCode="_-* #,##0.00\ &quot;грн.&quot;_-;\-* #,##0.00\ &quot;грн.&quot;_-;_-* &quot;-&quot;??\ &quot;грн.&quot;_-;_-@_-"/>
    <numFmt numFmtId="169" formatCode="_-* #,##0.00\ _г_р_н_._-;\-* #,##0.00\ _г_р_н_._-;_-* &quot;-&quot;??\ _г_р_н_._-;_-@_-"/>
    <numFmt numFmtId="170" formatCode="0.0"/>
    <numFmt numFmtId="171" formatCode="#,##0.00\ [$грн.-422];[Red]\-#,##0.00\ [$грн.-422]"/>
    <numFmt numFmtId="172" formatCode="#,##0.00;\-#,##0.00;#,&quot;-&quot;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sz val="12"/>
      <color indexed="8"/>
      <name val="Calibri"/>
      <family val="2"/>
    </font>
    <font>
      <sz val="7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6" fillId="3" borderId="0" applyNumberFormat="0" applyBorder="0" applyAlignment="0" applyProtection="0"/>
    <xf numFmtId="0" fontId="18" fillId="4" borderId="0" applyNumberFormat="0" applyBorder="0" applyAlignment="0" applyProtection="0"/>
    <xf numFmtId="0" fontId="46" fillId="5" borderId="0" applyNumberFormat="0" applyBorder="0" applyAlignment="0" applyProtection="0"/>
    <xf numFmtId="0" fontId="18" fillId="6" borderId="0" applyNumberFormat="0" applyBorder="0" applyAlignment="0" applyProtection="0"/>
    <xf numFmtId="0" fontId="46" fillId="7" borderId="0" applyNumberFormat="0" applyBorder="0" applyAlignment="0" applyProtection="0"/>
    <xf numFmtId="0" fontId="18" fillId="8" borderId="0" applyNumberFormat="0" applyBorder="0" applyAlignment="0" applyProtection="0"/>
    <xf numFmtId="0" fontId="46" fillId="9" borderId="0" applyNumberFormat="0" applyBorder="0" applyAlignment="0" applyProtection="0"/>
    <xf numFmtId="0" fontId="18" fillId="10" borderId="0" applyNumberFormat="0" applyBorder="0" applyAlignment="0" applyProtection="0"/>
    <xf numFmtId="0" fontId="46" fillId="11" borderId="0" applyNumberFormat="0" applyBorder="0" applyAlignment="0" applyProtection="0"/>
    <xf numFmtId="0" fontId="18" fillId="12" borderId="0" applyNumberFormat="0" applyBorder="0" applyAlignment="0" applyProtection="0"/>
    <xf numFmtId="0" fontId="46" fillId="13" borderId="0" applyNumberFormat="0" applyBorder="0" applyAlignment="0" applyProtection="0"/>
    <xf numFmtId="0" fontId="18" fillId="14" borderId="0" applyNumberFormat="0" applyBorder="0" applyAlignment="0" applyProtection="0"/>
    <xf numFmtId="0" fontId="46" fillId="15" borderId="0" applyNumberFormat="0" applyBorder="0" applyAlignment="0" applyProtection="0"/>
    <xf numFmtId="0" fontId="18" fillId="16" borderId="0" applyNumberFormat="0" applyBorder="0" applyAlignment="0" applyProtection="0"/>
    <xf numFmtId="0" fontId="46" fillId="17" borderId="0" applyNumberFormat="0" applyBorder="0" applyAlignment="0" applyProtection="0"/>
    <xf numFmtId="0" fontId="18" fillId="18" borderId="0" applyNumberFormat="0" applyBorder="0" applyAlignment="0" applyProtection="0"/>
    <xf numFmtId="0" fontId="46" fillId="19" borderId="0" applyNumberFormat="0" applyBorder="0" applyAlignment="0" applyProtection="0"/>
    <xf numFmtId="0" fontId="18" fillId="8" borderId="0" applyNumberFormat="0" applyBorder="0" applyAlignment="0" applyProtection="0"/>
    <xf numFmtId="0" fontId="46" fillId="20" borderId="0" applyNumberFormat="0" applyBorder="0" applyAlignment="0" applyProtection="0"/>
    <xf numFmtId="0" fontId="18" fillId="14" borderId="0" applyNumberFormat="0" applyBorder="0" applyAlignment="0" applyProtection="0"/>
    <xf numFmtId="0" fontId="46" fillId="21" borderId="0" applyNumberFormat="0" applyBorder="0" applyAlignment="0" applyProtection="0"/>
    <xf numFmtId="0" fontId="18" fillId="22" borderId="0" applyNumberFormat="0" applyBorder="0" applyAlignment="0" applyProtection="0"/>
    <xf numFmtId="0" fontId="46" fillId="23" borderId="0" applyNumberFormat="0" applyBorder="0" applyAlignment="0" applyProtection="0"/>
    <xf numFmtId="0" fontId="19" fillId="24" borderId="0" applyNumberFormat="0" applyBorder="0" applyAlignment="0" applyProtection="0"/>
    <xf numFmtId="0" fontId="47" fillId="25" borderId="0" applyNumberFormat="0" applyBorder="0" applyAlignment="0" applyProtection="0"/>
    <xf numFmtId="0" fontId="19" fillId="16" borderId="0" applyNumberFormat="0" applyBorder="0" applyAlignment="0" applyProtection="0"/>
    <xf numFmtId="0" fontId="47" fillId="26" borderId="0" applyNumberFormat="0" applyBorder="0" applyAlignment="0" applyProtection="0"/>
    <xf numFmtId="0" fontId="19" fillId="18" borderId="0" applyNumberFormat="0" applyBorder="0" applyAlignment="0" applyProtection="0"/>
    <xf numFmtId="0" fontId="47" fillId="27" borderId="0" applyNumberFormat="0" applyBorder="0" applyAlignment="0" applyProtection="0"/>
    <xf numFmtId="0" fontId="19" fillId="28" borderId="0" applyNumberFormat="0" applyBorder="0" applyAlignment="0" applyProtection="0"/>
    <xf numFmtId="0" fontId="47" fillId="29" borderId="0" applyNumberFormat="0" applyBorder="0" applyAlignment="0" applyProtection="0"/>
    <xf numFmtId="0" fontId="19" fillId="30" borderId="0" applyNumberFormat="0" applyBorder="0" applyAlignment="0" applyProtection="0"/>
    <xf numFmtId="0" fontId="47" fillId="31" borderId="0" applyNumberFormat="0" applyBorder="0" applyAlignment="0" applyProtection="0"/>
    <xf numFmtId="0" fontId="19" fillId="32" borderId="0" applyNumberFormat="0" applyBorder="0" applyAlignment="0" applyProtection="0"/>
    <xf numFmtId="0" fontId="4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20" fillId="12" borderId="1" applyNumberFormat="0" applyAlignment="0" applyProtection="0"/>
    <xf numFmtId="0" fontId="21" fillId="38" borderId="2" applyNumberFormat="0" applyAlignment="0" applyProtection="0"/>
    <xf numFmtId="0" fontId="22" fillId="38" borderId="1" applyNumberFormat="0" applyAlignment="0" applyProtection="0"/>
    <xf numFmtId="0" fontId="1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39" borderId="7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justify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shrinkToFit="1"/>
    </xf>
    <xf numFmtId="0" fontId="8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justify"/>
    </xf>
    <xf numFmtId="2" fontId="1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" fontId="11" fillId="38" borderId="10" xfId="0" applyNumberFormat="1" applyFont="1" applyFill="1" applyBorder="1" applyAlignment="1">
      <alignment horizontal="center" shrinkToFit="1"/>
    </xf>
    <xf numFmtId="2" fontId="0" fillId="0" borderId="0" xfId="0" applyNumberFormat="1" applyAlignment="1">
      <alignment/>
    </xf>
    <xf numFmtId="2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/>
    </xf>
    <xf numFmtId="49" fontId="3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4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2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42" borderId="10" xfId="0" applyNumberFormat="1" applyFill="1" applyBorder="1" applyAlignment="1">
      <alignment/>
    </xf>
    <xf numFmtId="1" fontId="0" fillId="42" borderId="10" xfId="0" applyNumberFormat="1" applyFill="1" applyBorder="1" applyAlignment="1">
      <alignment/>
    </xf>
    <xf numFmtId="2" fontId="0" fillId="12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39" fillId="12" borderId="10" xfId="0" applyFont="1" applyFill="1" applyBorder="1" applyAlignment="1">
      <alignment/>
    </xf>
    <xf numFmtId="0" fontId="39" fillId="12" borderId="10" xfId="0" applyFont="1" applyFill="1" applyBorder="1" applyAlignment="1">
      <alignment horizontal="center"/>
    </xf>
    <xf numFmtId="2" fontId="39" fillId="12" borderId="10" xfId="0" applyNumberFormat="1" applyFont="1" applyFill="1" applyBorder="1" applyAlignment="1">
      <alignment/>
    </xf>
    <xf numFmtId="0" fontId="39" fillId="12" borderId="0" xfId="0" applyFont="1" applyFill="1" applyAlignment="1">
      <alignment/>
    </xf>
    <xf numFmtId="1" fontId="13" fillId="0" borderId="14" xfId="0" applyNumberFormat="1" applyFont="1" applyFill="1" applyBorder="1" applyAlignment="1">
      <alignment horizontal="center" vertical="center" wrapText="1"/>
    </xf>
    <xf numFmtId="2" fontId="39" fillId="42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39" fillId="12" borderId="0" xfId="0" applyNumberFormat="1" applyFont="1" applyFill="1" applyAlignment="1">
      <alignment/>
    </xf>
    <xf numFmtId="2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42" borderId="0" xfId="0" applyFont="1" applyFill="1" applyAlignment="1">
      <alignment/>
    </xf>
    <xf numFmtId="0" fontId="39" fillId="12" borderId="0" xfId="0" applyFont="1" applyFill="1" applyBorder="1" applyAlignment="1">
      <alignment/>
    </xf>
    <xf numFmtId="0" fontId="39" fillId="12" borderId="0" xfId="0" applyFont="1" applyFill="1" applyBorder="1" applyAlignment="1">
      <alignment horizontal="center"/>
    </xf>
    <xf numFmtId="2" fontId="39" fillId="12" borderId="0" xfId="0" applyNumberFormat="1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32" borderId="1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45" borderId="10" xfId="0" applyFont="1" applyFill="1" applyBorder="1" applyAlignment="1">
      <alignment vertical="top" wrapText="1"/>
    </xf>
    <xf numFmtId="0" fontId="1" fillId="45" borderId="10" xfId="0" applyFont="1" applyFill="1" applyBorder="1" applyAlignment="1">
      <alignment horizontal="center" vertical="top" wrapText="1"/>
    </xf>
    <xf numFmtId="0" fontId="1" fillId="45" borderId="10" xfId="0" applyFont="1" applyFill="1" applyBorder="1" applyAlignment="1">
      <alignment horizontal="right" vertical="top" wrapText="1"/>
    </xf>
    <xf numFmtId="0" fontId="0" fillId="45" borderId="0" xfId="0" applyFill="1" applyAlignment="1">
      <alignment/>
    </xf>
    <xf numFmtId="0" fontId="0" fillId="0" borderId="0" xfId="0" applyFont="1" applyFill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4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right" vertical="top" wrapText="1"/>
    </xf>
    <xf numFmtId="0" fontId="40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64" fontId="0" fillId="0" borderId="0" xfId="0" applyNumberFormat="1" applyAlignment="1">
      <alignment/>
    </xf>
    <xf numFmtId="1" fontId="11" fillId="38" borderId="10" xfId="0" applyNumberFormat="1" applyFont="1" applyFill="1" applyBorder="1" applyAlignment="1">
      <alignment shrinkToFit="1"/>
    </xf>
    <xf numFmtId="0" fontId="36" fillId="12" borderId="10" xfId="0" applyFont="1" applyFill="1" applyBorder="1" applyAlignment="1">
      <alignment horizontal="center" wrapText="1"/>
    </xf>
    <xf numFmtId="49" fontId="36" fillId="0" borderId="16" xfId="0" applyNumberFormat="1" applyFont="1" applyBorder="1" applyAlignment="1">
      <alignment horizontal="center"/>
    </xf>
    <xf numFmtId="49" fontId="36" fillId="0" borderId="17" xfId="0" applyNumberFormat="1" applyFont="1" applyBorder="1" applyAlignment="1">
      <alignment horizontal="center"/>
    </xf>
    <xf numFmtId="0" fontId="38" fillId="42" borderId="10" xfId="0" applyFont="1" applyFill="1" applyBorder="1" applyAlignment="1">
      <alignment horizontal="center"/>
    </xf>
    <xf numFmtId="0" fontId="36" fillId="42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1" fillId="4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45" borderId="12" xfId="0" applyFont="1" applyFill="1" applyBorder="1" applyAlignment="1">
      <alignment horizontal="left" vertical="top" wrapText="1"/>
    </xf>
    <xf numFmtId="0" fontId="1" fillId="45" borderId="18" xfId="0" applyFont="1" applyFill="1" applyBorder="1" applyAlignment="1">
      <alignment horizontal="left" vertical="top" wrapText="1"/>
    </xf>
    <xf numFmtId="0" fontId="1" fillId="45" borderId="15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" fontId="11" fillId="38" borderId="10" xfId="0" applyNumberFormat="1" applyFont="1" applyFill="1" applyBorder="1" applyAlignment="1">
      <alignment horizontal="center" shrinkToFi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164" fontId="3" fillId="0" borderId="10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2" fillId="0" borderId="19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165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Примечание 2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685800</xdr:colOff>
      <xdr:row>107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0</xdr:row>
      <xdr:rowOff>0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581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685800</xdr:colOff>
      <xdr:row>83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648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110;&#1103;\2012\&#1041;&#1102;&#1076;&#1078;&#1077;&#1090;%202013\&#1041;&#1102;&#1076;&#1078;&#1077;&#1090;&#1085;&#1080;&#1081;%20&#1079;&#1072;&#1087;&#1080;&#1090;%202013%20&#1050;&#1085;&#1080;&#1075;&#1072;%20&#1055;&#1072;&#1084;&#1103;&#1090;&#1110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mdepinform\Downloads\&#1064;&#1090;&#1072;&#1090;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romdepinform\Downloads\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-1"/>
      <sheetName val="2013-2.2"/>
      <sheetName val="2013-2.3"/>
      <sheetName val="2013-2.4"/>
      <sheetName val="2013-2.7.1"/>
      <sheetName val="2013-2.7.2"/>
      <sheetName val="2013-2.7.3"/>
    </sheetNames>
    <sheetDataSet>
      <sheetData sheetId="1">
        <row r="10">
          <cell r="B10" t="str">
            <v>Оплата праці</v>
          </cell>
        </row>
        <row r="13">
          <cell r="B13" t="str">
            <v>Предмети, матеріали, обладнання та інвентар</v>
          </cell>
        </row>
        <row r="16">
          <cell r="B16" t="str">
            <v>Оплата послуг (крім комунальних) </v>
          </cell>
        </row>
        <row r="17">
          <cell r="B17" t="str">
            <v>Видатки на відрядження</v>
          </cell>
        </row>
        <row r="18">
          <cell r="B18" t="str">
            <v>Оплата комунальних послуг та енергоносіїв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17(без мінім.)"/>
      <sheetName val="01.01.17(без мінім) (2)"/>
      <sheetName val="01.01.17(без мінім)"/>
      <sheetName val="01.01.17(без"/>
      <sheetName val="01.01.17(з мінім)"/>
      <sheetName val="10.10.2016"/>
      <sheetName val="Проект 01.12.2016"/>
      <sheetName val="Проект 01.01.2017"/>
      <sheetName val="14.08.2016"/>
      <sheetName val="01.05.2016"/>
      <sheetName val="01.05.2016 (2)"/>
      <sheetName val="травень"/>
      <sheetName val="01.01.2016"/>
      <sheetName val="ДовидникКПК"/>
      <sheetName val="ДовидникКФК"/>
      <sheetName val="ДовидникКВК(ГОС)"/>
    </sheetNames>
    <sheetDataSet>
      <sheetData sheetId="4">
        <row r="26">
          <cell r="M26">
            <v>60403.200000000004</v>
          </cell>
        </row>
        <row r="27">
          <cell r="M27">
            <v>54366</v>
          </cell>
        </row>
        <row r="30">
          <cell r="M30">
            <v>42240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1.17"/>
      <sheetName val="01.01.18"/>
      <sheetName val="01.04.17"/>
      <sheetName val="ДовидникКПК"/>
      <sheetName val="ДовидникКФК"/>
      <sheetName val="ДовидникКВК(ГОС)"/>
    </sheetNames>
    <sheetDataSet>
      <sheetData sheetId="1">
        <row r="48">
          <cell r="H48">
            <v>53165</v>
          </cell>
          <cell r="I48">
            <v>2771.11</v>
          </cell>
          <cell r="L48">
            <v>6594.900000000001</v>
          </cell>
          <cell r="M48">
            <v>1388.4</v>
          </cell>
          <cell r="N48">
            <v>1238.1799999999998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317"/>
  <sheetViews>
    <sheetView view="pageBreakPreview" zoomScaleSheetLayoutView="100" zoomScalePageLayoutView="0" workbookViewId="0" topLeftCell="A1">
      <pane xSplit="2" ySplit="5" topLeftCell="C177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K207" sqref="K207:V208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6.375" style="0" customWidth="1"/>
    <col min="4" max="4" width="7.375" style="0" hidden="1" customWidth="1"/>
    <col min="5" max="5" width="7.125" style="0" hidden="1" customWidth="1"/>
    <col min="6" max="6" width="4.875" style="0" hidden="1" customWidth="1"/>
    <col min="7" max="7" width="10.25390625" style="0" hidden="1" customWidth="1"/>
    <col min="8" max="8" width="8.00390625" style="0" hidden="1" customWidth="1"/>
    <col min="9" max="9" width="8.375" style="0" hidden="1" customWidth="1"/>
    <col min="10" max="10" width="5.75390625" style="0" hidden="1" customWidth="1"/>
    <col min="11" max="11" width="9.625" style="0" bestFit="1" customWidth="1"/>
    <col min="12" max="14" width="9.625" style="0" customWidth="1"/>
    <col min="15" max="15" width="9.625" style="0" bestFit="1" customWidth="1"/>
    <col min="16" max="21" width="9.625" style="0" customWidth="1"/>
    <col min="22" max="22" width="9.625" style="0" bestFit="1" customWidth="1"/>
    <col min="23" max="23" width="10.875" style="38" customWidth="1"/>
    <col min="24" max="24" width="12.00390625" style="38" customWidth="1"/>
    <col min="25" max="25" width="11.375" style="38" customWidth="1"/>
    <col min="26" max="26" width="10.625" style="38" customWidth="1"/>
    <col min="27" max="27" width="0.37109375" style="0" customWidth="1"/>
    <col min="28" max="29" width="9.125" style="0" hidden="1" customWidth="1"/>
    <col min="30" max="30" width="9.625" style="0" hidden="1" customWidth="1"/>
    <col min="31" max="31" width="9.125" style="0" hidden="1" customWidth="1"/>
  </cols>
  <sheetData>
    <row r="1" ht="12.75">
      <c r="B1" t="s">
        <v>122</v>
      </c>
    </row>
    <row r="2" ht="15.75">
      <c r="B2" s="62" t="s">
        <v>135</v>
      </c>
    </row>
    <row r="3" spans="1:26" s="39" customFormat="1" ht="12" customHeight="1">
      <c r="A3" s="106" t="s">
        <v>62</v>
      </c>
      <c r="B3" s="106" t="s">
        <v>63</v>
      </c>
      <c r="C3" s="110" t="s">
        <v>64</v>
      </c>
      <c r="D3" s="110" t="s">
        <v>65</v>
      </c>
      <c r="E3" s="106" t="s">
        <v>66</v>
      </c>
      <c r="F3" s="112" t="s">
        <v>67</v>
      </c>
      <c r="G3" s="107" t="s">
        <v>111</v>
      </c>
      <c r="H3" s="108"/>
      <c r="I3" s="109"/>
      <c r="J3" s="106" t="s">
        <v>68</v>
      </c>
      <c r="K3" s="102" t="s">
        <v>124</v>
      </c>
      <c r="L3" s="102" t="s">
        <v>125</v>
      </c>
      <c r="M3" s="102" t="s">
        <v>126</v>
      </c>
      <c r="N3" s="102" t="s">
        <v>127</v>
      </c>
      <c r="O3" s="102" t="s">
        <v>128</v>
      </c>
      <c r="P3" s="102" t="s">
        <v>129</v>
      </c>
      <c r="Q3" s="102" t="s">
        <v>130</v>
      </c>
      <c r="R3" s="102" t="s">
        <v>131</v>
      </c>
      <c r="S3" s="102" t="s">
        <v>132</v>
      </c>
      <c r="T3" s="102" t="s">
        <v>133</v>
      </c>
      <c r="U3" s="102" t="s">
        <v>134</v>
      </c>
      <c r="V3" s="102" t="s">
        <v>69</v>
      </c>
      <c r="W3" s="104" t="s">
        <v>70</v>
      </c>
      <c r="X3" s="105">
        <v>1110</v>
      </c>
      <c r="Y3" s="105">
        <v>1120</v>
      </c>
      <c r="Z3" s="101" t="s">
        <v>71</v>
      </c>
    </row>
    <row r="4" spans="1:26" s="39" customFormat="1" ht="29.25" customHeight="1">
      <c r="A4" s="106"/>
      <c r="B4" s="106"/>
      <c r="C4" s="111"/>
      <c r="D4" s="111"/>
      <c r="E4" s="106"/>
      <c r="F4" s="113"/>
      <c r="G4" s="40" t="s">
        <v>112</v>
      </c>
      <c r="H4" s="40" t="s">
        <v>113</v>
      </c>
      <c r="I4" s="40" t="s">
        <v>114</v>
      </c>
      <c r="J4" s="10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4"/>
      <c r="X4" s="105"/>
      <c r="Y4" s="105"/>
      <c r="Z4" s="101"/>
    </row>
    <row r="5" spans="1:26" ht="12.75">
      <c r="A5" s="41"/>
      <c r="B5" s="42">
        <v>120300</v>
      </c>
      <c r="C5" s="42"/>
      <c r="D5" s="41"/>
      <c r="E5" s="41"/>
      <c r="F5" s="41"/>
      <c r="G5" s="41"/>
      <c r="H5" s="41"/>
      <c r="I5" s="41"/>
      <c r="J5" s="41"/>
      <c r="K5" s="41">
        <f>ROUND(ROUND(G5*J5,0)*F5,0)*2</f>
        <v>0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5"/>
      <c r="Y5" s="45"/>
      <c r="Z5" s="46"/>
    </row>
    <row r="6" spans="1:32" ht="12.75">
      <c r="A6" s="41">
        <v>1</v>
      </c>
      <c r="B6" s="45" t="s">
        <v>37</v>
      </c>
      <c r="C6" s="41"/>
      <c r="D6" s="41">
        <v>14</v>
      </c>
      <c r="E6" s="41">
        <v>1</v>
      </c>
      <c r="F6" s="41">
        <v>1</v>
      </c>
      <c r="G6" s="41">
        <v>1600</v>
      </c>
      <c r="H6" s="41">
        <v>1684</v>
      </c>
      <c r="I6" s="41">
        <v>1762</v>
      </c>
      <c r="J6" s="41">
        <v>2.42</v>
      </c>
      <c r="K6" s="47"/>
      <c r="L6" s="47">
        <f>ROUND(ROUND(G6*J6,0)*F6,0)*E6</f>
        <v>3872</v>
      </c>
      <c r="M6" s="47">
        <f aca="true" t="shared" si="0" ref="M6:N19">L6</f>
        <v>3872</v>
      </c>
      <c r="N6" s="47">
        <f t="shared" si="0"/>
        <v>3872</v>
      </c>
      <c r="O6" s="47">
        <f>ROUND(ROUND(H6*J6,0)*F6,0)*E6</f>
        <v>4075</v>
      </c>
      <c r="P6" s="47">
        <f aca="true" t="shared" si="1" ref="P6:U20">O6</f>
        <v>4075</v>
      </c>
      <c r="Q6" s="47">
        <f t="shared" si="1"/>
        <v>4075</v>
      </c>
      <c r="R6" s="47">
        <f t="shared" si="1"/>
        <v>4075</v>
      </c>
      <c r="S6" s="47">
        <f t="shared" si="1"/>
        <v>4075</v>
      </c>
      <c r="T6" s="47">
        <f t="shared" si="1"/>
        <v>4075</v>
      </c>
      <c r="U6" s="47">
        <f t="shared" si="1"/>
        <v>4075</v>
      </c>
      <c r="V6" s="44">
        <f aca="true" t="shared" si="2" ref="V6:V20">ROUND(ROUND(I6*J6,0)*F6,0)*E6</f>
        <v>4264</v>
      </c>
      <c r="W6" s="57">
        <f aca="true" t="shared" si="3" ref="W6:W24">SUM(K6:V6)</f>
        <v>44405</v>
      </c>
      <c r="X6" s="48"/>
      <c r="Y6" s="49"/>
      <c r="Z6" s="50"/>
      <c r="AA6" s="30">
        <f aca="true" t="shared" si="4" ref="AA6:AA19">K6/4</f>
        <v>0</v>
      </c>
      <c r="AB6" s="30">
        <f>AA6*0.3</f>
        <v>0</v>
      </c>
      <c r="AC6" s="30"/>
      <c r="AD6" s="60">
        <f>'[2]01.01.17(з мінім)'!$M$26</f>
        <v>60403.200000000004</v>
      </c>
      <c r="AE6" s="30" t="e">
        <f>X6-AD6-#REF!</f>
        <v>#REF!</v>
      </c>
      <c r="AF6">
        <f aca="true" t="shared" si="5" ref="AF6:AF19">W6/12</f>
        <v>3700.4166666666665</v>
      </c>
    </row>
    <row r="7" spans="1:32" ht="12.75">
      <c r="A7" s="41">
        <v>2</v>
      </c>
      <c r="B7" s="66" t="s">
        <v>72</v>
      </c>
      <c r="C7" s="51" t="s">
        <v>73</v>
      </c>
      <c r="D7" s="41" t="s">
        <v>74</v>
      </c>
      <c r="E7" s="41">
        <v>1</v>
      </c>
      <c r="F7" s="41">
        <v>0.9</v>
      </c>
      <c r="G7" s="41">
        <v>1600</v>
      </c>
      <c r="H7" s="41">
        <v>1684</v>
      </c>
      <c r="I7" s="41">
        <v>1762</v>
      </c>
      <c r="J7" s="41">
        <v>2.42</v>
      </c>
      <c r="K7" s="47">
        <f>ROUND(ROUND(G7*J7,0)*F7,0)*E7</f>
        <v>3485</v>
      </c>
      <c r="L7" s="47">
        <f>K7</f>
        <v>3485</v>
      </c>
      <c r="M7" s="47">
        <f t="shared" si="0"/>
        <v>3485</v>
      </c>
      <c r="N7" s="47">
        <f>M7*2</f>
        <v>6970</v>
      </c>
      <c r="O7" s="47"/>
      <c r="P7" s="47">
        <f>ROUND(ROUND(H7*J7,0)*F7,0)*E7</f>
        <v>3668</v>
      </c>
      <c r="Q7" s="47">
        <f t="shared" si="1"/>
        <v>3668</v>
      </c>
      <c r="R7" s="47">
        <f t="shared" si="1"/>
        <v>3668</v>
      </c>
      <c r="S7" s="47">
        <f t="shared" si="1"/>
        <v>3668</v>
      </c>
      <c r="T7" s="47">
        <f t="shared" si="1"/>
        <v>3668</v>
      </c>
      <c r="U7" s="47">
        <f t="shared" si="1"/>
        <v>3668</v>
      </c>
      <c r="V7" s="44">
        <f t="shared" si="2"/>
        <v>3838</v>
      </c>
      <c r="W7" s="57">
        <f t="shared" si="3"/>
        <v>43271</v>
      </c>
      <c r="X7" s="48"/>
      <c r="Y7" s="49"/>
      <c r="Z7" s="50"/>
      <c r="AA7" s="30">
        <f t="shared" si="4"/>
        <v>871.25</v>
      </c>
      <c r="AB7" s="30">
        <f>AA7*0.3</f>
        <v>261.375</v>
      </c>
      <c r="AC7" s="30"/>
      <c r="AD7" s="60">
        <f>'[2]01.01.17(з мінім)'!$M$27</f>
        <v>54366</v>
      </c>
      <c r="AE7" s="30" t="e">
        <f>X7-AD7-#REF!</f>
        <v>#REF!</v>
      </c>
      <c r="AF7">
        <f t="shared" si="5"/>
        <v>3605.9166666666665</v>
      </c>
    </row>
    <row r="8" spans="1:32" ht="12.75">
      <c r="A8" s="41">
        <v>3</v>
      </c>
      <c r="B8" s="67" t="s">
        <v>75</v>
      </c>
      <c r="C8" s="72" t="s">
        <v>76</v>
      </c>
      <c r="D8" s="41" t="s">
        <v>115</v>
      </c>
      <c r="E8" s="41">
        <v>1</v>
      </c>
      <c r="F8" s="41">
        <v>0.95</v>
      </c>
      <c r="G8" s="41">
        <v>1600</v>
      </c>
      <c r="H8" s="41">
        <v>1684</v>
      </c>
      <c r="I8" s="41">
        <v>1762</v>
      </c>
      <c r="J8" s="41">
        <v>2.42</v>
      </c>
      <c r="K8" s="47"/>
      <c r="L8" s="47">
        <f>ROUND(ROUND(G8*J8,0)*F8,0)*E8</f>
        <v>3678</v>
      </c>
      <c r="M8" s="47">
        <f t="shared" si="0"/>
        <v>3678</v>
      </c>
      <c r="N8" s="47">
        <f t="shared" si="0"/>
        <v>3678</v>
      </c>
      <c r="O8" s="47">
        <f>ROUND(ROUND(H8*J8,0)*F8,0)*E8</f>
        <v>3871</v>
      </c>
      <c r="P8" s="47">
        <f t="shared" si="1"/>
        <v>3871</v>
      </c>
      <c r="Q8" s="47">
        <f t="shared" si="1"/>
        <v>3871</v>
      </c>
      <c r="R8" s="47">
        <f>Q8*2</f>
        <v>7742</v>
      </c>
      <c r="S8" s="47"/>
      <c r="T8" s="47">
        <f>ROUND(ROUND(H8*J8,0)*F8,0)*E8</f>
        <v>3871</v>
      </c>
      <c r="U8" s="47">
        <f t="shared" si="1"/>
        <v>3871</v>
      </c>
      <c r="V8" s="44">
        <f t="shared" si="2"/>
        <v>4051</v>
      </c>
      <c r="W8" s="57">
        <f t="shared" si="3"/>
        <v>42182</v>
      </c>
      <c r="X8" s="48"/>
      <c r="Y8" s="49"/>
      <c r="Z8" s="50"/>
      <c r="AA8" s="30">
        <f t="shared" si="4"/>
        <v>0</v>
      </c>
      <c r="AB8" s="30">
        <f>AA8*0.3</f>
        <v>0</v>
      </c>
      <c r="AC8" s="30"/>
      <c r="AD8" s="61">
        <v>57376.8</v>
      </c>
      <c r="AE8" s="30" t="e">
        <f>X8-AD8-#REF!</f>
        <v>#REF!</v>
      </c>
      <c r="AF8">
        <f t="shared" si="5"/>
        <v>3515.1666666666665</v>
      </c>
    </row>
    <row r="9" spans="1:32" ht="12.75">
      <c r="A9" s="41">
        <v>4</v>
      </c>
      <c r="B9" s="67" t="s">
        <v>77</v>
      </c>
      <c r="C9" s="41" t="s">
        <v>78</v>
      </c>
      <c r="D9" s="41">
        <v>11</v>
      </c>
      <c r="E9" s="41">
        <v>1</v>
      </c>
      <c r="F9" s="41">
        <v>1</v>
      </c>
      <c r="G9" s="41">
        <v>1600</v>
      </c>
      <c r="H9" s="41">
        <v>1684</v>
      </c>
      <c r="I9" s="41">
        <v>1762</v>
      </c>
      <c r="J9" s="41">
        <v>1.97</v>
      </c>
      <c r="K9" s="47">
        <f aca="true" t="shared" si="6" ref="K9:K17">ROUND(ROUND(G9*J9,0)*F9,0)*E9</f>
        <v>3152</v>
      </c>
      <c r="L9" s="47">
        <f aca="true" t="shared" si="7" ref="L9:L17">K9</f>
        <v>3152</v>
      </c>
      <c r="M9" s="47">
        <f t="shared" si="0"/>
        <v>3152</v>
      </c>
      <c r="N9" s="47">
        <f t="shared" si="0"/>
        <v>3152</v>
      </c>
      <c r="O9" s="47">
        <f>ROUND(ROUND(H9*J9,0)*F9,0)*E9</f>
        <v>3317</v>
      </c>
      <c r="P9" s="47">
        <f>ROUND(ROUND(H9*J9,0)*F9,0)*E9*2</f>
        <v>6634</v>
      </c>
      <c r="Q9" s="47"/>
      <c r="R9" s="47">
        <f>ROUND(ROUND(H9*J9,0)*F9,0)*E9</f>
        <v>3317</v>
      </c>
      <c r="S9" s="47">
        <f t="shared" si="1"/>
        <v>3317</v>
      </c>
      <c r="T9" s="47">
        <f t="shared" si="1"/>
        <v>3317</v>
      </c>
      <c r="U9" s="47">
        <f t="shared" si="1"/>
        <v>3317</v>
      </c>
      <c r="V9" s="44">
        <f t="shared" si="2"/>
        <v>3471</v>
      </c>
      <c r="W9" s="57">
        <f t="shared" si="3"/>
        <v>39298</v>
      </c>
      <c r="X9" s="48"/>
      <c r="Y9" s="49"/>
      <c r="Z9" s="50"/>
      <c r="AA9" s="30">
        <f t="shared" si="4"/>
        <v>788</v>
      </c>
      <c r="AB9" s="30">
        <f aca="true" t="shared" si="8" ref="AB9:AB15">AA9*0.1</f>
        <v>78.80000000000001</v>
      </c>
      <c r="AC9" s="30"/>
      <c r="AD9" s="30">
        <f>'[2]01.01.17(з мінім)'!$M$30</f>
        <v>42240</v>
      </c>
      <c r="AE9" s="30" t="e">
        <f>X9-AD9-#REF!</f>
        <v>#REF!</v>
      </c>
      <c r="AF9">
        <f t="shared" si="5"/>
        <v>3274.8333333333335</v>
      </c>
    </row>
    <row r="10" spans="1:32" ht="12.75">
      <c r="A10" s="41">
        <v>5</v>
      </c>
      <c r="B10" s="67" t="s">
        <v>77</v>
      </c>
      <c r="C10" s="41" t="s">
        <v>79</v>
      </c>
      <c r="D10" s="41">
        <v>11</v>
      </c>
      <c r="E10" s="41">
        <v>1</v>
      </c>
      <c r="F10" s="41">
        <v>1</v>
      </c>
      <c r="G10" s="41">
        <v>1600</v>
      </c>
      <c r="H10" s="41">
        <v>1684</v>
      </c>
      <c r="I10" s="41">
        <v>1762</v>
      </c>
      <c r="J10" s="41">
        <v>1.97</v>
      </c>
      <c r="K10" s="47">
        <f t="shared" si="6"/>
        <v>3152</v>
      </c>
      <c r="L10" s="47">
        <f t="shared" si="7"/>
        <v>3152</v>
      </c>
      <c r="M10" s="47">
        <f t="shared" si="0"/>
        <v>3152</v>
      </c>
      <c r="N10" s="47">
        <f t="shared" si="0"/>
        <v>3152</v>
      </c>
      <c r="O10" s="47">
        <f>ROUND(ROUND(H10*J10,0)*F10,0)*E10</f>
        <v>3317</v>
      </c>
      <c r="P10" s="47">
        <f t="shared" si="1"/>
        <v>3317</v>
      </c>
      <c r="Q10" s="47">
        <f>P10*2</f>
        <v>6634</v>
      </c>
      <c r="R10" s="47">
        <f t="shared" si="1"/>
        <v>6634</v>
      </c>
      <c r="S10" s="47">
        <f>ROUND(ROUND(H10*J10,0)*F10,0)*E10</f>
        <v>3317</v>
      </c>
      <c r="T10" s="47">
        <f t="shared" si="1"/>
        <v>3317</v>
      </c>
      <c r="U10" s="47">
        <f t="shared" si="1"/>
        <v>3317</v>
      </c>
      <c r="V10" s="44">
        <f t="shared" si="2"/>
        <v>3471</v>
      </c>
      <c r="W10" s="57">
        <f t="shared" si="3"/>
        <v>45932</v>
      </c>
      <c r="X10" s="48"/>
      <c r="Y10" s="49"/>
      <c r="Z10" s="50"/>
      <c r="AA10" s="30">
        <f t="shared" si="4"/>
        <v>788</v>
      </c>
      <c r="AB10" s="30">
        <f t="shared" si="8"/>
        <v>78.80000000000001</v>
      </c>
      <c r="AC10" s="30"/>
      <c r="AD10" s="30">
        <f>AD9</f>
        <v>42240</v>
      </c>
      <c r="AE10" s="30" t="e">
        <f>X10-AD10-#REF!</f>
        <v>#REF!</v>
      </c>
      <c r="AF10">
        <f t="shared" si="5"/>
        <v>3827.6666666666665</v>
      </c>
    </row>
    <row r="11" spans="1:32" ht="12.75">
      <c r="A11" s="41">
        <v>6</v>
      </c>
      <c r="B11" s="67" t="s">
        <v>80</v>
      </c>
      <c r="C11" s="41" t="s">
        <v>81</v>
      </c>
      <c r="D11" s="41">
        <v>11</v>
      </c>
      <c r="E11" s="41">
        <v>1</v>
      </c>
      <c r="F11" s="41">
        <v>1</v>
      </c>
      <c r="G11" s="41">
        <v>1600</v>
      </c>
      <c r="H11" s="41">
        <v>1684</v>
      </c>
      <c r="I11" s="41">
        <v>1762</v>
      </c>
      <c r="J11" s="41">
        <v>1.54</v>
      </c>
      <c r="K11" s="47">
        <f t="shared" si="6"/>
        <v>2464</v>
      </c>
      <c r="L11" s="47">
        <f t="shared" si="7"/>
        <v>2464</v>
      </c>
      <c r="M11" s="47">
        <f t="shared" si="0"/>
        <v>2464</v>
      </c>
      <c r="N11" s="47">
        <f t="shared" si="0"/>
        <v>2464</v>
      </c>
      <c r="O11" s="47">
        <f>ROUND(ROUND(H11*J11,0)*F11,0)*E11</f>
        <v>2593</v>
      </c>
      <c r="P11" s="47">
        <f t="shared" si="1"/>
        <v>2593</v>
      </c>
      <c r="Q11" s="47">
        <f t="shared" si="1"/>
        <v>2593</v>
      </c>
      <c r="R11" s="47">
        <f>Q11*2</f>
        <v>5186</v>
      </c>
      <c r="S11" s="47"/>
      <c r="T11" s="47">
        <f>ROUND(ROUND(H11*J11,0)*F11,0)*E11</f>
        <v>2593</v>
      </c>
      <c r="U11" s="47">
        <f t="shared" si="1"/>
        <v>2593</v>
      </c>
      <c r="V11" s="44">
        <f t="shared" si="2"/>
        <v>2713</v>
      </c>
      <c r="W11" s="57">
        <f t="shared" si="3"/>
        <v>30720</v>
      </c>
      <c r="X11" s="48"/>
      <c r="Y11" s="49"/>
      <c r="Z11" s="50"/>
      <c r="AA11" s="30">
        <f t="shared" si="4"/>
        <v>616</v>
      </c>
      <c r="AB11" s="30">
        <f t="shared" si="8"/>
        <v>61.6</v>
      </c>
      <c r="AC11" s="30"/>
      <c r="AD11" s="30">
        <f>AD10</f>
        <v>42240</v>
      </c>
      <c r="AE11" s="30" t="e">
        <f>X11-AD11-#REF!</f>
        <v>#REF!</v>
      </c>
      <c r="AF11">
        <f t="shared" si="5"/>
        <v>2560</v>
      </c>
    </row>
    <row r="12" spans="1:32" ht="12.75">
      <c r="A12" s="41">
        <v>7</v>
      </c>
      <c r="B12" s="68" t="s">
        <v>80</v>
      </c>
      <c r="C12" s="72" t="s">
        <v>82</v>
      </c>
      <c r="D12" s="41">
        <v>8</v>
      </c>
      <c r="E12" s="41">
        <v>1</v>
      </c>
      <c r="F12" s="41">
        <v>1</v>
      </c>
      <c r="G12" s="41">
        <v>1600</v>
      </c>
      <c r="H12" s="41">
        <v>1684</v>
      </c>
      <c r="I12" s="41">
        <v>1762</v>
      </c>
      <c r="J12" s="41">
        <v>1.54</v>
      </c>
      <c r="K12" s="47">
        <f>ROUND(ROUND(G12*J12,0)*F12,0)*E12</f>
        <v>2464</v>
      </c>
      <c r="L12" s="47">
        <f>K12*2</f>
        <v>4928</v>
      </c>
      <c r="M12" s="47"/>
      <c r="N12" s="47">
        <f>ROUND(ROUND(G12*J12,0)*F12,0)*E12</f>
        <v>2464</v>
      </c>
      <c r="O12" s="47">
        <f>ROUND(ROUND(H12*J12,0)*F12,0)*E12</f>
        <v>2593</v>
      </c>
      <c r="P12" s="47">
        <f t="shared" si="1"/>
        <v>2593</v>
      </c>
      <c r="Q12" s="47">
        <f t="shared" si="1"/>
        <v>2593</v>
      </c>
      <c r="R12" s="47">
        <f t="shared" si="1"/>
        <v>2593</v>
      </c>
      <c r="S12" s="47">
        <f t="shared" si="1"/>
        <v>2593</v>
      </c>
      <c r="T12" s="47">
        <f t="shared" si="1"/>
        <v>2593</v>
      </c>
      <c r="U12" s="47">
        <f t="shared" si="1"/>
        <v>2593</v>
      </c>
      <c r="V12" s="44">
        <f t="shared" si="2"/>
        <v>2713</v>
      </c>
      <c r="W12" s="57">
        <f t="shared" si="3"/>
        <v>30720</v>
      </c>
      <c r="X12" s="48"/>
      <c r="Y12" s="49"/>
      <c r="Z12" s="50"/>
      <c r="AA12" s="30">
        <f t="shared" si="4"/>
        <v>616</v>
      </c>
      <c r="AB12" s="30">
        <f t="shared" si="8"/>
        <v>61.6</v>
      </c>
      <c r="AC12" s="30"/>
      <c r="AD12">
        <v>48000</v>
      </c>
      <c r="AE12" s="30" t="e">
        <f>X12-AD12-#REF!</f>
        <v>#REF!</v>
      </c>
      <c r="AF12">
        <f t="shared" si="5"/>
        <v>2560</v>
      </c>
    </row>
    <row r="13" spans="1:32" ht="12.75">
      <c r="A13" s="41">
        <v>8</v>
      </c>
      <c r="B13" s="68" t="s">
        <v>83</v>
      </c>
      <c r="C13" s="72" t="s">
        <v>143</v>
      </c>
      <c r="D13" s="41" t="s">
        <v>74</v>
      </c>
      <c r="E13" s="41">
        <v>1</v>
      </c>
      <c r="F13" s="41">
        <v>0.9</v>
      </c>
      <c r="G13" s="41">
        <v>1600</v>
      </c>
      <c r="H13" s="41">
        <v>1684</v>
      </c>
      <c r="I13" s="41">
        <v>1762</v>
      </c>
      <c r="J13" s="41">
        <v>2.42</v>
      </c>
      <c r="K13" s="47">
        <f t="shared" si="6"/>
        <v>3485</v>
      </c>
      <c r="L13" s="47">
        <f t="shared" si="7"/>
        <v>3485</v>
      </c>
      <c r="M13" s="47">
        <f t="shared" si="0"/>
        <v>3485</v>
      </c>
      <c r="N13" s="47">
        <f t="shared" si="0"/>
        <v>3485</v>
      </c>
      <c r="O13" s="47">
        <f>ROUND(ROUND(H13*J13,0)*F13,0)*E13*2</f>
        <v>7336</v>
      </c>
      <c r="P13" s="47"/>
      <c r="Q13" s="47">
        <f>ROUND(ROUND(H13*J13,0)*F13,0)*E13</f>
        <v>3668</v>
      </c>
      <c r="R13" s="47">
        <f t="shared" si="1"/>
        <v>3668</v>
      </c>
      <c r="S13" s="47">
        <f t="shared" si="1"/>
        <v>3668</v>
      </c>
      <c r="T13" s="47">
        <f t="shared" si="1"/>
        <v>3668</v>
      </c>
      <c r="U13" s="47">
        <f t="shared" si="1"/>
        <v>3668</v>
      </c>
      <c r="V13" s="44">
        <f t="shared" si="2"/>
        <v>3838</v>
      </c>
      <c r="W13" s="57">
        <f t="shared" si="3"/>
        <v>43454</v>
      </c>
      <c r="X13" s="48"/>
      <c r="Y13" s="49"/>
      <c r="Z13" s="50"/>
      <c r="AA13" s="30">
        <f t="shared" si="4"/>
        <v>871.25</v>
      </c>
      <c r="AB13" s="30">
        <f t="shared" si="8"/>
        <v>87.125</v>
      </c>
      <c r="AC13" s="30"/>
      <c r="AD13">
        <v>46002</v>
      </c>
      <c r="AE13" s="30" t="e">
        <f>X13-AD13-#REF!</f>
        <v>#REF!</v>
      </c>
      <c r="AF13">
        <f t="shared" si="5"/>
        <v>3621.1666666666665</v>
      </c>
    </row>
    <row r="14" spans="1:32" ht="12.75">
      <c r="A14" s="41">
        <v>9</v>
      </c>
      <c r="B14" s="68" t="s">
        <v>77</v>
      </c>
      <c r="C14" s="41" t="s">
        <v>84</v>
      </c>
      <c r="D14" s="41">
        <v>11</v>
      </c>
      <c r="E14" s="41">
        <v>1</v>
      </c>
      <c r="F14" s="41">
        <v>1</v>
      </c>
      <c r="G14" s="41">
        <v>1600</v>
      </c>
      <c r="H14" s="41">
        <v>1684</v>
      </c>
      <c r="I14" s="41">
        <v>1762</v>
      </c>
      <c r="J14" s="41">
        <v>1.97</v>
      </c>
      <c r="K14" s="47">
        <f>ROUND(ROUND(G14*J14,0)*F14,0)*E14*2</f>
        <v>6304</v>
      </c>
      <c r="L14" s="47"/>
      <c r="M14" s="47">
        <f>ROUND(ROUND(G14*J14,0)*F14,0)*E14</f>
        <v>3152</v>
      </c>
      <c r="N14" s="47">
        <f t="shared" si="0"/>
        <v>3152</v>
      </c>
      <c r="O14" s="47">
        <f>ROUND(ROUND(H14*J14,0)*F14,0)*E14</f>
        <v>3317</v>
      </c>
      <c r="P14" s="47">
        <f t="shared" si="1"/>
        <v>3317</v>
      </c>
      <c r="Q14" s="47">
        <f t="shared" si="1"/>
        <v>3317</v>
      </c>
      <c r="R14" s="47">
        <f t="shared" si="1"/>
        <v>3317</v>
      </c>
      <c r="S14" s="47">
        <f t="shared" si="1"/>
        <v>3317</v>
      </c>
      <c r="T14" s="47">
        <f t="shared" si="1"/>
        <v>3317</v>
      </c>
      <c r="U14" s="47">
        <f t="shared" si="1"/>
        <v>3317</v>
      </c>
      <c r="V14" s="44">
        <f t="shared" si="2"/>
        <v>3471</v>
      </c>
      <c r="W14" s="57">
        <f t="shared" si="3"/>
        <v>39298</v>
      </c>
      <c r="X14" s="48"/>
      <c r="Y14" s="49"/>
      <c r="Z14" s="50"/>
      <c r="AA14" s="30">
        <f t="shared" si="4"/>
        <v>1576</v>
      </c>
      <c r="AB14" s="30">
        <f t="shared" si="8"/>
        <v>157.60000000000002</v>
      </c>
      <c r="AC14" s="30"/>
      <c r="AD14" s="30">
        <f>AD11</f>
        <v>42240</v>
      </c>
      <c r="AE14" s="30" t="e">
        <f>X14-AD14-#REF!</f>
        <v>#REF!</v>
      </c>
      <c r="AF14">
        <f t="shared" si="5"/>
        <v>3274.8333333333335</v>
      </c>
    </row>
    <row r="15" spans="1:32" ht="12.75">
      <c r="A15" s="41">
        <v>10</v>
      </c>
      <c r="B15" s="68" t="s">
        <v>77</v>
      </c>
      <c r="C15" s="41" t="s">
        <v>85</v>
      </c>
      <c r="D15" s="41">
        <v>11</v>
      </c>
      <c r="E15" s="41">
        <v>1</v>
      </c>
      <c r="F15" s="41">
        <v>1</v>
      </c>
      <c r="G15" s="41">
        <v>1600</v>
      </c>
      <c r="H15" s="41">
        <v>1684</v>
      </c>
      <c r="I15" s="41">
        <v>1762</v>
      </c>
      <c r="J15" s="41">
        <v>1.97</v>
      </c>
      <c r="K15" s="47">
        <f t="shared" si="6"/>
        <v>3152</v>
      </c>
      <c r="L15" s="47">
        <f t="shared" si="7"/>
        <v>3152</v>
      </c>
      <c r="M15" s="47">
        <f t="shared" si="0"/>
        <v>3152</v>
      </c>
      <c r="N15" s="47">
        <f t="shared" si="0"/>
        <v>3152</v>
      </c>
      <c r="O15" s="47">
        <f>ROUND(ROUND(H15*J15,0)*F15,0)*E15*2</f>
        <v>6634</v>
      </c>
      <c r="P15" s="47"/>
      <c r="Q15" s="47">
        <f>ROUND(ROUND(H15*J15,0)*F15,0)*E15</f>
        <v>3317</v>
      </c>
      <c r="R15" s="47">
        <f t="shared" si="1"/>
        <v>3317</v>
      </c>
      <c r="S15" s="47">
        <f t="shared" si="1"/>
        <v>3317</v>
      </c>
      <c r="T15" s="47">
        <f t="shared" si="1"/>
        <v>3317</v>
      </c>
      <c r="U15" s="47">
        <f t="shared" si="1"/>
        <v>3317</v>
      </c>
      <c r="V15" s="44">
        <f t="shared" si="2"/>
        <v>3471</v>
      </c>
      <c r="W15" s="57">
        <f t="shared" si="3"/>
        <v>39298</v>
      </c>
      <c r="X15" s="48"/>
      <c r="Y15" s="49"/>
      <c r="Z15" s="50"/>
      <c r="AA15" s="30">
        <f t="shared" si="4"/>
        <v>788</v>
      </c>
      <c r="AB15" s="30">
        <f t="shared" si="8"/>
        <v>78.80000000000001</v>
      </c>
      <c r="AC15" s="30"/>
      <c r="AD15" s="30">
        <f>AD14</f>
        <v>42240</v>
      </c>
      <c r="AE15" s="30" t="e">
        <f>X15-AD15-#REF!</f>
        <v>#REF!</v>
      </c>
      <c r="AF15">
        <f t="shared" si="5"/>
        <v>3274.8333333333335</v>
      </c>
    </row>
    <row r="16" spans="1:32" ht="12.75">
      <c r="A16" s="41">
        <v>11</v>
      </c>
      <c r="B16" s="69" t="s">
        <v>75</v>
      </c>
      <c r="C16" s="72" t="s">
        <v>116</v>
      </c>
      <c r="D16" s="41" t="s">
        <v>115</v>
      </c>
      <c r="E16" s="41">
        <v>1</v>
      </c>
      <c r="F16" s="41">
        <v>0.95</v>
      </c>
      <c r="G16" s="41">
        <v>1600</v>
      </c>
      <c r="H16" s="41">
        <v>1684</v>
      </c>
      <c r="I16" s="41">
        <v>1762</v>
      </c>
      <c r="J16" s="41">
        <v>2.42</v>
      </c>
      <c r="K16" s="47">
        <f t="shared" si="6"/>
        <v>3678</v>
      </c>
      <c r="L16" s="47">
        <f t="shared" si="7"/>
        <v>3678</v>
      </c>
      <c r="M16" s="47">
        <f t="shared" si="0"/>
        <v>3678</v>
      </c>
      <c r="N16" s="47">
        <f t="shared" si="0"/>
        <v>3678</v>
      </c>
      <c r="O16" s="47">
        <f>ROUND(ROUND(H16*J16,0)*F16,0)*E16</f>
        <v>3871</v>
      </c>
      <c r="P16" s="47">
        <f t="shared" si="1"/>
        <v>3871</v>
      </c>
      <c r="Q16" s="47">
        <f>P16*2</f>
        <v>7742</v>
      </c>
      <c r="R16" s="47"/>
      <c r="S16" s="47">
        <f>ROUND(ROUND(H16*J16,0)*F16,0)*E16</f>
        <v>3871</v>
      </c>
      <c r="T16" s="47">
        <f>ROUND(ROUND(H16*J16,0)*F16,0)*E16</f>
        <v>3871</v>
      </c>
      <c r="U16" s="47">
        <f t="shared" si="1"/>
        <v>3871</v>
      </c>
      <c r="V16" s="44">
        <f t="shared" si="2"/>
        <v>4051</v>
      </c>
      <c r="W16" s="57">
        <f t="shared" si="3"/>
        <v>45860</v>
      </c>
      <c r="X16" s="48"/>
      <c r="Y16" s="49"/>
      <c r="Z16" s="50"/>
      <c r="AA16" s="30">
        <f t="shared" si="4"/>
        <v>919.5</v>
      </c>
      <c r="AB16" s="30">
        <f>AA16*0.3</f>
        <v>275.84999999999997</v>
      </c>
      <c r="AC16" s="30"/>
      <c r="AD16" s="61">
        <v>57376.8</v>
      </c>
      <c r="AE16" s="30" t="e">
        <f>X16-AD16-#REF!</f>
        <v>#REF!</v>
      </c>
      <c r="AF16">
        <f t="shared" si="5"/>
        <v>3821.6666666666665</v>
      </c>
    </row>
    <row r="17" spans="1:32" ht="12.75">
      <c r="A17" s="41">
        <v>12</v>
      </c>
      <c r="B17" s="69" t="s">
        <v>77</v>
      </c>
      <c r="C17" s="41" t="s">
        <v>117</v>
      </c>
      <c r="D17" s="41">
        <v>11</v>
      </c>
      <c r="E17" s="41">
        <v>1</v>
      </c>
      <c r="F17" s="41">
        <v>1</v>
      </c>
      <c r="G17" s="41">
        <v>1600</v>
      </c>
      <c r="H17" s="41">
        <v>1684</v>
      </c>
      <c r="I17" s="41">
        <v>1762</v>
      </c>
      <c r="J17" s="41">
        <v>1.97</v>
      </c>
      <c r="K17" s="47">
        <f t="shared" si="6"/>
        <v>3152</v>
      </c>
      <c r="L17" s="47">
        <f t="shared" si="7"/>
        <v>3152</v>
      </c>
      <c r="M17" s="47">
        <f t="shared" si="0"/>
        <v>3152</v>
      </c>
      <c r="N17" s="47">
        <f t="shared" si="0"/>
        <v>3152</v>
      </c>
      <c r="O17" s="47">
        <f>ROUND(ROUND(H17*J17,0)*F17,0)*E17</f>
        <v>3317</v>
      </c>
      <c r="P17" s="47">
        <f t="shared" si="1"/>
        <v>3317</v>
      </c>
      <c r="Q17" s="47">
        <f t="shared" si="1"/>
        <v>3317</v>
      </c>
      <c r="R17" s="47">
        <f t="shared" si="1"/>
        <v>3317</v>
      </c>
      <c r="S17" s="47">
        <f>ROUND(ROUND(H17*J17,0)*F17,0)*E17*2</f>
        <v>6634</v>
      </c>
      <c r="T17" s="47"/>
      <c r="U17" s="47">
        <f>ROUND(ROUND(H17*J17,0)*F17,0)*E17</f>
        <v>3317</v>
      </c>
      <c r="V17" s="44">
        <f t="shared" si="2"/>
        <v>3471</v>
      </c>
      <c r="W17" s="57">
        <f t="shared" si="3"/>
        <v>39298</v>
      </c>
      <c r="X17" s="48"/>
      <c r="Y17" s="49"/>
      <c r="Z17" s="50"/>
      <c r="AA17" s="30">
        <f t="shared" si="4"/>
        <v>788</v>
      </c>
      <c r="AB17" s="30">
        <f>AA17*0.1</f>
        <v>78.80000000000001</v>
      </c>
      <c r="AC17" s="30"/>
      <c r="AD17" s="30">
        <f>AD15</f>
        <v>42240</v>
      </c>
      <c r="AE17" s="30" t="e">
        <f>X17-AD17-#REF!</f>
        <v>#REF!</v>
      </c>
      <c r="AF17">
        <f t="shared" si="5"/>
        <v>3274.8333333333335</v>
      </c>
    </row>
    <row r="18" spans="1:32" ht="12.75">
      <c r="A18" s="41">
        <v>13</v>
      </c>
      <c r="B18" s="69" t="s">
        <v>77</v>
      </c>
      <c r="C18" s="41" t="s">
        <v>118</v>
      </c>
      <c r="D18" s="41">
        <v>11</v>
      </c>
      <c r="E18" s="41">
        <v>1</v>
      </c>
      <c r="F18" s="41">
        <v>1</v>
      </c>
      <c r="G18" s="41">
        <v>1600</v>
      </c>
      <c r="H18" s="41">
        <v>1684</v>
      </c>
      <c r="I18" s="41">
        <v>1762</v>
      </c>
      <c r="J18" s="41">
        <v>1.97</v>
      </c>
      <c r="K18" s="47">
        <f>ROUND(ROUND(G8*J8,0)*F8,0)*E8</f>
        <v>3678</v>
      </c>
      <c r="L18" s="47">
        <f>ROUND(ROUND(G18*J18,0)*F18,0)*E18</f>
        <v>3152</v>
      </c>
      <c r="M18" s="47">
        <f>ROUND(ROUND(G18*J18,0)*F18,0)*E18*2</f>
        <v>6304</v>
      </c>
      <c r="N18" s="47"/>
      <c r="O18" s="47">
        <f>ROUND(ROUND(H18*J18,0)*F18,0)*E18</f>
        <v>3317</v>
      </c>
      <c r="P18" s="47">
        <f t="shared" si="1"/>
        <v>3317</v>
      </c>
      <c r="Q18" s="47">
        <f t="shared" si="1"/>
        <v>3317</v>
      </c>
      <c r="R18" s="47">
        <f t="shared" si="1"/>
        <v>3317</v>
      </c>
      <c r="S18" s="47">
        <f t="shared" si="1"/>
        <v>3317</v>
      </c>
      <c r="T18" s="47">
        <f t="shared" si="1"/>
        <v>3317</v>
      </c>
      <c r="U18" s="47">
        <f t="shared" si="1"/>
        <v>3317</v>
      </c>
      <c r="V18" s="44">
        <f t="shared" si="2"/>
        <v>3471</v>
      </c>
      <c r="W18" s="57">
        <f t="shared" si="3"/>
        <v>39824</v>
      </c>
      <c r="X18" s="48"/>
      <c r="Y18" s="49"/>
      <c r="Z18" s="50"/>
      <c r="AA18" s="30">
        <f t="shared" si="4"/>
        <v>919.5</v>
      </c>
      <c r="AB18" s="30">
        <f>AA18*0.1</f>
        <v>91.95</v>
      </c>
      <c r="AC18" s="30"/>
      <c r="AD18" s="30">
        <f>AD17</f>
        <v>42240</v>
      </c>
      <c r="AE18" s="30" t="e">
        <f>X18-AD18-#REF!</f>
        <v>#REF!</v>
      </c>
      <c r="AF18">
        <f t="shared" si="5"/>
        <v>3318.6666666666665</v>
      </c>
    </row>
    <row r="19" spans="1:32" ht="12.75">
      <c r="A19" s="41">
        <v>14</v>
      </c>
      <c r="B19" s="41" t="s">
        <v>77</v>
      </c>
      <c r="C19" s="41" t="s">
        <v>119</v>
      </c>
      <c r="D19" s="41">
        <v>11</v>
      </c>
      <c r="E19" s="41">
        <v>0.5</v>
      </c>
      <c r="F19" s="41">
        <v>1</v>
      </c>
      <c r="G19" s="41">
        <v>1600</v>
      </c>
      <c r="H19" s="41">
        <v>1684</v>
      </c>
      <c r="I19" s="41">
        <v>1762</v>
      </c>
      <c r="J19" s="41">
        <v>1.97</v>
      </c>
      <c r="K19" s="47">
        <f aca="true" t="shared" si="9" ref="K19:K24">ROUND(ROUND(G19*J19,0)*F19,0)*E19</f>
        <v>1576</v>
      </c>
      <c r="L19" s="47">
        <f>K19</f>
        <v>1576</v>
      </c>
      <c r="M19" s="47">
        <f t="shared" si="0"/>
        <v>1576</v>
      </c>
      <c r="N19" s="47">
        <f t="shared" si="0"/>
        <v>1576</v>
      </c>
      <c r="O19" s="47">
        <f>ROUND(ROUND(H19*J19,0)*F19,0)*E19</f>
        <v>1658.5</v>
      </c>
      <c r="P19" s="47">
        <f>ROUND(ROUND(H19*J19,0)*F19,0)*E19*2</f>
        <v>3317</v>
      </c>
      <c r="Q19" s="47"/>
      <c r="R19" s="47">
        <f>ROUND(ROUND(H19*J19,0)*F19,0)*E19</f>
        <v>1658.5</v>
      </c>
      <c r="S19" s="47">
        <f t="shared" si="1"/>
        <v>1658.5</v>
      </c>
      <c r="T19" s="47">
        <f t="shared" si="1"/>
        <v>1658.5</v>
      </c>
      <c r="U19" s="47">
        <f t="shared" si="1"/>
        <v>1658.5</v>
      </c>
      <c r="V19" s="44">
        <f t="shared" si="2"/>
        <v>1735.5</v>
      </c>
      <c r="W19" s="57">
        <f t="shared" si="3"/>
        <v>19649</v>
      </c>
      <c r="X19" s="48"/>
      <c r="Y19" s="49"/>
      <c r="Z19" s="50"/>
      <c r="AA19" s="30">
        <f t="shared" si="4"/>
        <v>394</v>
      </c>
      <c r="AB19" s="30">
        <f>AA19*0.1</f>
        <v>39.400000000000006</v>
      </c>
      <c r="AC19" s="30"/>
      <c r="AD19" s="30">
        <f>AD18</f>
        <v>42240</v>
      </c>
      <c r="AE19" s="30" t="e">
        <f>X19-AD19-#REF!</f>
        <v>#REF!</v>
      </c>
      <c r="AF19">
        <f t="shared" si="5"/>
        <v>1637.4166666666667</v>
      </c>
    </row>
    <row r="20" spans="1:31" ht="12.75">
      <c r="A20" s="41">
        <v>15</v>
      </c>
      <c r="B20" s="41" t="s">
        <v>77</v>
      </c>
      <c r="C20" s="41" t="s">
        <v>136</v>
      </c>
      <c r="D20" s="41">
        <v>11</v>
      </c>
      <c r="E20" s="41">
        <v>0.5</v>
      </c>
      <c r="F20" s="41">
        <v>1</v>
      </c>
      <c r="G20" s="41">
        <v>1600</v>
      </c>
      <c r="H20" s="41">
        <v>1684</v>
      </c>
      <c r="I20" s="41">
        <v>1762</v>
      </c>
      <c r="J20" s="41">
        <v>1.97</v>
      </c>
      <c r="K20" s="47">
        <f t="shared" si="9"/>
        <v>1576</v>
      </c>
      <c r="L20" s="47">
        <f>K20</f>
        <v>1576</v>
      </c>
      <c r="M20" s="47">
        <f>L20*2</f>
        <v>3152</v>
      </c>
      <c r="N20" s="47"/>
      <c r="O20" s="47">
        <f>ROUND(ROUND(H20*J20,0)*F20,0)*E20</f>
        <v>1658.5</v>
      </c>
      <c r="P20" s="47">
        <f t="shared" si="1"/>
        <v>1658.5</v>
      </c>
      <c r="Q20" s="47">
        <f t="shared" si="1"/>
        <v>1658.5</v>
      </c>
      <c r="R20" s="47">
        <f t="shared" si="1"/>
        <v>1658.5</v>
      </c>
      <c r="S20" s="47">
        <f t="shared" si="1"/>
        <v>1658.5</v>
      </c>
      <c r="T20" s="47">
        <f t="shared" si="1"/>
        <v>1658.5</v>
      </c>
      <c r="U20" s="47">
        <f t="shared" si="1"/>
        <v>1658.5</v>
      </c>
      <c r="V20" s="44">
        <f t="shared" si="2"/>
        <v>1735.5</v>
      </c>
      <c r="W20" s="57">
        <f t="shared" si="3"/>
        <v>19649</v>
      </c>
      <c r="X20" s="48"/>
      <c r="Y20" s="49"/>
      <c r="Z20" s="50"/>
      <c r="AA20" s="30"/>
      <c r="AB20" s="30"/>
      <c r="AC20" s="30"/>
      <c r="AD20" s="30"/>
      <c r="AE20" s="30"/>
    </row>
    <row r="21" spans="1:31" ht="12.75">
      <c r="A21" s="41">
        <v>16</v>
      </c>
      <c r="B21" s="41" t="s">
        <v>77</v>
      </c>
      <c r="C21" s="41" t="s">
        <v>137</v>
      </c>
      <c r="D21" s="41">
        <v>11</v>
      </c>
      <c r="E21" s="41">
        <v>0.5</v>
      </c>
      <c r="F21" s="41">
        <v>1</v>
      </c>
      <c r="G21" s="41">
        <v>1600</v>
      </c>
      <c r="H21" s="41">
        <v>1684</v>
      </c>
      <c r="I21" s="41">
        <v>1762</v>
      </c>
      <c r="J21" s="41">
        <v>1.97</v>
      </c>
      <c r="K21" s="47">
        <f t="shared" si="9"/>
        <v>1576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4"/>
      <c r="W21" s="57">
        <f t="shared" si="3"/>
        <v>1576</v>
      </c>
      <c r="X21" s="48"/>
      <c r="Y21" s="49"/>
      <c r="Z21" s="50"/>
      <c r="AA21" s="30"/>
      <c r="AB21" s="30"/>
      <c r="AC21" s="30"/>
      <c r="AD21" s="30"/>
      <c r="AE21" s="30"/>
    </row>
    <row r="22" spans="1:31" ht="12.75">
      <c r="A22" s="41">
        <v>17</v>
      </c>
      <c r="B22" s="41" t="s">
        <v>77</v>
      </c>
      <c r="C22" s="41" t="s">
        <v>142</v>
      </c>
      <c r="D22" s="41">
        <v>11</v>
      </c>
      <c r="E22" s="41">
        <v>0.5</v>
      </c>
      <c r="F22" s="41">
        <v>1</v>
      </c>
      <c r="G22" s="41">
        <v>1600</v>
      </c>
      <c r="H22" s="41">
        <v>1684</v>
      </c>
      <c r="I22" s="41">
        <v>1762</v>
      </c>
      <c r="J22" s="41">
        <v>1.97</v>
      </c>
      <c r="K22" s="47">
        <f t="shared" si="9"/>
        <v>1576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4"/>
      <c r="W22" s="57">
        <f t="shared" si="3"/>
        <v>1576</v>
      </c>
      <c r="X22" s="48"/>
      <c r="Y22" s="49"/>
      <c r="Z22" s="50"/>
      <c r="AA22" s="30"/>
      <c r="AB22" s="30"/>
      <c r="AC22" s="30"/>
      <c r="AD22" s="30"/>
      <c r="AE22" s="30"/>
    </row>
    <row r="23" spans="1:31" ht="12.75">
      <c r="A23" s="41">
        <v>18</v>
      </c>
      <c r="B23" s="41" t="s">
        <v>120</v>
      </c>
      <c r="C23" s="41" t="s">
        <v>138</v>
      </c>
      <c r="D23" s="41">
        <v>9</v>
      </c>
      <c r="E23" s="41">
        <v>0.5</v>
      </c>
      <c r="F23" s="41">
        <v>1</v>
      </c>
      <c r="G23" s="41">
        <v>1600</v>
      </c>
      <c r="H23" s="41">
        <v>1684</v>
      </c>
      <c r="I23" s="41">
        <v>1762</v>
      </c>
      <c r="J23" s="41">
        <v>1.73</v>
      </c>
      <c r="K23" s="47">
        <f t="shared" si="9"/>
        <v>1384</v>
      </c>
      <c r="L23" s="47">
        <f aca="true" t="shared" si="10" ref="L23:N24">K23</f>
        <v>1384</v>
      </c>
      <c r="M23" s="47">
        <f t="shared" si="10"/>
        <v>1384</v>
      </c>
      <c r="N23" s="47">
        <f t="shared" si="10"/>
        <v>1384</v>
      </c>
      <c r="O23" s="47">
        <f>ROUND(ROUND(H23*J23,0)*F23,0)*E23</f>
        <v>1456.5</v>
      </c>
      <c r="P23" s="47">
        <f aca="true" t="shared" si="11" ref="P23:U24">O23</f>
        <v>1456.5</v>
      </c>
      <c r="Q23" s="47">
        <f>ROUND(ROUND(H23*J23,0)*F23,0)*E23*2</f>
        <v>2913</v>
      </c>
      <c r="R23" s="47"/>
      <c r="S23" s="47">
        <f>ROUND(ROUND(H23*J23,0)*F23,0)*E23</f>
        <v>1456.5</v>
      </c>
      <c r="T23" s="47">
        <f t="shared" si="11"/>
        <v>1456.5</v>
      </c>
      <c r="U23" s="47">
        <f t="shared" si="11"/>
        <v>1456.5</v>
      </c>
      <c r="V23" s="44">
        <f>ROUND(ROUND(I23*J23,0)*F23,0)*E23</f>
        <v>1524</v>
      </c>
      <c r="W23" s="57">
        <f t="shared" si="3"/>
        <v>17255.5</v>
      </c>
      <c r="X23" s="48"/>
      <c r="Y23" s="49"/>
      <c r="Z23" s="50"/>
      <c r="AA23" s="30"/>
      <c r="AB23" s="30"/>
      <c r="AC23" s="30"/>
      <c r="AD23" s="30"/>
      <c r="AE23" s="30"/>
    </row>
    <row r="24" spans="1:32" ht="12.75">
      <c r="A24" s="41">
        <v>19</v>
      </c>
      <c r="B24" s="41" t="s">
        <v>120</v>
      </c>
      <c r="C24" s="41" t="s">
        <v>121</v>
      </c>
      <c r="D24" s="41">
        <v>9</v>
      </c>
      <c r="E24" s="41">
        <v>0.5</v>
      </c>
      <c r="F24" s="41">
        <v>1</v>
      </c>
      <c r="G24" s="41">
        <v>1600</v>
      </c>
      <c r="H24" s="41">
        <v>1684</v>
      </c>
      <c r="I24" s="41">
        <v>1762</v>
      </c>
      <c r="J24" s="41">
        <v>1.73</v>
      </c>
      <c r="K24" s="47">
        <f t="shared" si="9"/>
        <v>1384</v>
      </c>
      <c r="L24" s="47">
        <f t="shared" si="10"/>
        <v>1384</v>
      </c>
      <c r="M24" s="47">
        <f t="shared" si="10"/>
        <v>1384</v>
      </c>
      <c r="N24" s="47">
        <f t="shared" si="10"/>
        <v>1384</v>
      </c>
      <c r="O24" s="47">
        <f>ROUND(ROUND(H24*J24,0)*F24,0)*E24</f>
        <v>1456.5</v>
      </c>
      <c r="P24" s="47">
        <f>O24*2</f>
        <v>2913</v>
      </c>
      <c r="Q24" s="47"/>
      <c r="R24" s="47">
        <f>ROUND(ROUND(H24*J24,0)*F24,0)*E24</f>
        <v>1456.5</v>
      </c>
      <c r="S24" s="47">
        <f t="shared" si="11"/>
        <v>1456.5</v>
      </c>
      <c r="T24" s="47">
        <f t="shared" si="11"/>
        <v>1456.5</v>
      </c>
      <c r="U24" s="47">
        <f t="shared" si="11"/>
        <v>1456.5</v>
      </c>
      <c r="V24" s="44">
        <f>ROUND(ROUND(I24*J24,0)*F24,0)*E24</f>
        <v>1524</v>
      </c>
      <c r="W24" s="57">
        <f t="shared" si="3"/>
        <v>17255.5</v>
      </c>
      <c r="X24" s="48"/>
      <c r="Y24" s="49"/>
      <c r="Z24" s="50"/>
      <c r="AA24" s="30">
        <f>K24/4</f>
        <v>346</v>
      </c>
      <c r="AB24" s="30">
        <f>AA24*0.1</f>
        <v>34.6</v>
      </c>
      <c r="AC24" s="30"/>
      <c r="AD24">
        <v>48000</v>
      </c>
      <c r="AE24" s="30" t="e">
        <f>X24-AD24-#REF!</f>
        <v>#REF!</v>
      </c>
      <c r="AF24">
        <f>W24/12</f>
        <v>1437.9583333333333</v>
      </c>
    </row>
    <row r="25" spans="2:32" s="55" customFormat="1" ht="12.75">
      <c r="B25" s="52" t="s">
        <v>70</v>
      </c>
      <c r="C25" s="52"/>
      <c r="D25" s="52"/>
      <c r="E25" s="52">
        <f>SUM(E6:E24)</f>
        <v>16</v>
      </c>
      <c r="F25" s="53" t="s">
        <v>86</v>
      </c>
      <c r="G25" s="53" t="s">
        <v>86</v>
      </c>
      <c r="H25" s="53" t="s">
        <v>86</v>
      </c>
      <c r="I25" s="53" t="s">
        <v>86</v>
      </c>
      <c r="J25" s="53" t="s">
        <v>86</v>
      </c>
      <c r="K25" s="54">
        <f aca="true" t="shared" si="12" ref="K25:U25">ROUND(SUM(K6:K15)/10,0)*10</f>
        <v>27660</v>
      </c>
      <c r="L25" s="54">
        <f t="shared" si="12"/>
        <v>31370</v>
      </c>
      <c r="M25" s="54">
        <f t="shared" si="12"/>
        <v>29590</v>
      </c>
      <c r="N25" s="54">
        <f t="shared" si="12"/>
        <v>35540</v>
      </c>
      <c r="O25" s="54">
        <f t="shared" si="12"/>
        <v>37050</v>
      </c>
      <c r="P25" s="54">
        <f t="shared" si="12"/>
        <v>30070</v>
      </c>
      <c r="Q25" s="54">
        <f t="shared" si="12"/>
        <v>33740</v>
      </c>
      <c r="R25" s="54">
        <f t="shared" si="12"/>
        <v>43520</v>
      </c>
      <c r="S25" s="54">
        <f t="shared" si="12"/>
        <v>27270</v>
      </c>
      <c r="T25" s="54">
        <f t="shared" si="12"/>
        <v>33740</v>
      </c>
      <c r="U25" s="54">
        <f t="shared" si="12"/>
        <v>33740</v>
      </c>
      <c r="V25" s="54">
        <f>ROUNDDOWN(SUM(V6:V15)/10,0)*10</f>
        <v>35300</v>
      </c>
      <c r="W25" s="54">
        <f aca="true" t="shared" si="13" ref="W25:AB25">SUM(W6:W24)</f>
        <v>600521</v>
      </c>
      <c r="X25" s="54">
        <f t="shared" si="13"/>
        <v>0</v>
      </c>
      <c r="Y25" s="54">
        <f t="shared" si="13"/>
        <v>0</v>
      </c>
      <c r="Z25" s="54">
        <f t="shared" si="13"/>
        <v>0</v>
      </c>
      <c r="AA25" s="30">
        <f t="shared" si="13"/>
        <v>10281.5</v>
      </c>
      <c r="AB25" s="30">
        <f t="shared" si="13"/>
        <v>1386.3</v>
      </c>
      <c r="AC25" s="30"/>
      <c r="AD25" s="59">
        <f>SUM(AD6:AD24)</f>
        <v>709444.8</v>
      </c>
      <c r="AE25" s="59" t="e">
        <f>SUM(AE6:AE24)</f>
        <v>#REF!</v>
      </c>
      <c r="AF25" s="55">
        <v>41520</v>
      </c>
    </row>
    <row r="26" spans="1:22" ht="12.75">
      <c r="A26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5.75">
      <c r="B27" s="62" t="s">
        <v>139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6" s="39" customFormat="1" ht="12" customHeight="1">
      <c r="A28" s="106" t="s">
        <v>62</v>
      </c>
      <c r="B28" s="106" t="s">
        <v>63</v>
      </c>
      <c r="C28" s="110" t="s">
        <v>64</v>
      </c>
      <c r="D28" s="110" t="s">
        <v>65</v>
      </c>
      <c r="E28" s="106" t="s">
        <v>66</v>
      </c>
      <c r="F28" s="112" t="s">
        <v>67</v>
      </c>
      <c r="G28" s="107" t="s">
        <v>111</v>
      </c>
      <c r="H28" s="108"/>
      <c r="I28" s="109"/>
      <c r="J28" s="106" t="s">
        <v>68</v>
      </c>
      <c r="K28" s="102" t="s">
        <v>124</v>
      </c>
      <c r="L28" s="102" t="s">
        <v>125</v>
      </c>
      <c r="M28" s="102" t="s">
        <v>126</v>
      </c>
      <c r="N28" s="102" t="s">
        <v>127</v>
      </c>
      <c r="O28" s="102" t="s">
        <v>128</v>
      </c>
      <c r="P28" s="102" t="s">
        <v>129</v>
      </c>
      <c r="Q28" s="102" t="s">
        <v>130</v>
      </c>
      <c r="R28" s="102" t="s">
        <v>131</v>
      </c>
      <c r="S28" s="102" t="s">
        <v>132</v>
      </c>
      <c r="T28" s="102" t="s">
        <v>133</v>
      </c>
      <c r="U28" s="102" t="s">
        <v>134</v>
      </c>
      <c r="V28" s="102" t="s">
        <v>69</v>
      </c>
      <c r="W28" s="104" t="s">
        <v>70</v>
      </c>
      <c r="X28" s="105">
        <v>1110</v>
      </c>
      <c r="Y28" s="105">
        <v>1120</v>
      </c>
      <c r="Z28" s="101" t="s">
        <v>71</v>
      </c>
    </row>
    <row r="29" spans="1:26" s="39" customFormat="1" ht="29.25" customHeight="1">
      <c r="A29" s="106"/>
      <c r="B29" s="106"/>
      <c r="C29" s="111"/>
      <c r="D29" s="111"/>
      <c r="E29" s="106"/>
      <c r="F29" s="113"/>
      <c r="G29" s="40" t="s">
        <v>112</v>
      </c>
      <c r="H29" s="40" t="s">
        <v>113</v>
      </c>
      <c r="I29" s="40" t="s">
        <v>114</v>
      </c>
      <c r="J29" s="106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X29" s="105"/>
      <c r="Y29" s="105"/>
      <c r="Z29" s="101"/>
    </row>
    <row r="30" spans="1:26" ht="12.75">
      <c r="A30" s="41"/>
      <c r="B30" s="42">
        <v>120300</v>
      </c>
      <c r="C30" s="42"/>
      <c r="D30" s="41"/>
      <c r="E30" s="41"/>
      <c r="F30" s="41"/>
      <c r="G30" s="41"/>
      <c r="H30" s="41"/>
      <c r="I30" s="41"/>
      <c r="J30" s="41"/>
      <c r="K30" s="41">
        <f>ROUND(ROUND(G30*J30,0)*F30,0)*2</f>
        <v>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45"/>
      <c r="Y30" s="45"/>
      <c r="Z30" s="46"/>
    </row>
    <row r="31" spans="1:32" ht="12.75">
      <c r="A31" s="41">
        <v>1</v>
      </c>
      <c r="B31" s="41" t="s">
        <v>37</v>
      </c>
      <c r="C31" s="41"/>
      <c r="D31" s="41"/>
      <c r="E31" s="41"/>
      <c r="F31" s="41"/>
      <c r="G31" s="41"/>
      <c r="H31" s="41"/>
      <c r="I31" s="41"/>
      <c r="J31" s="41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4"/>
      <c r="W31" s="57">
        <f aca="true" t="shared" si="14" ref="W31:W49">SUM(K31:V31)</f>
        <v>0</v>
      </c>
      <c r="X31" s="48"/>
      <c r="Y31" s="49"/>
      <c r="Z31" s="50"/>
      <c r="AA31" s="30">
        <f aca="true" t="shared" si="15" ref="AA31:AA44">K31/4</f>
        <v>0</v>
      </c>
      <c r="AB31" s="30">
        <f>AA31*0.3</f>
        <v>0</v>
      </c>
      <c r="AC31" s="30"/>
      <c r="AD31" s="60">
        <f>'[2]01.01.17(з мінім)'!$M$26</f>
        <v>60403.200000000004</v>
      </c>
      <c r="AE31" s="30" t="e">
        <f>X31-AD31-#REF!</f>
        <v>#REF!</v>
      </c>
      <c r="AF31">
        <f aca="true" t="shared" si="16" ref="AF31:AF44">W31/12</f>
        <v>0</v>
      </c>
    </row>
    <row r="32" spans="1:32" ht="12.75">
      <c r="A32" s="41">
        <f aca="true" t="shared" si="17" ref="A32:A46">A31+1</f>
        <v>2</v>
      </c>
      <c r="B32" s="51" t="s">
        <v>72</v>
      </c>
      <c r="C32" s="51" t="s">
        <v>73</v>
      </c>
      <c r="D32" s="41"/>
      <c r="E32" s="41"/>
      <c r="F32" s="41"/>
      <c r="G32" s="41"/>
      <c r="H32" s="41"/>
      <c r="I32" s="41"/>
      <c r="J32" s="4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4"/>
      <c r="W32" s="57">
        <f t="shared" si="14"/>
        <v>0</v>
      </c>
      <c r="X32" s="48"/>
      <c r="Y32" s="49"/>
      <c r="Z32" s="50"/>
      <c r="AA32" s="30">
        <f t="shared" si="15"/>
        <v>0</v>
      </c>
      <c r="AB32" s="30">
        <f>AA32*0.3</f>
        <v>0</v>
      </c>
      <c r="AC32" s="30"/>
      <c r="AD32" s="60">
        <f>'[2]01.01.17(з мінім)'!$M$27</f>
        <v>54366</v>
      </c>
      <c r="AE32" s="30" t="e">
        <f>X32-AD32-#REF!</f>
        <v>#REF!</v>
      </c>
      <c r="AF32">
        <f t="shared" si="16"/>
        <v>0</v>
      </c>
    </row>
    <row r="33" spans="1:32" ht="12.75">
      <c r="A33" s="41">
        <f t="shared" si="17"/>
        <v>3</v>
      </c>
      <c r="B33" s="41" t="s">
        <v>75</v>
      </c>
      <c r="C33" s="41" t="s">
        <v>76</v>
      </c>
      <c r="D33" s="41"/>
      <c r="E33" s="41"/>
      <c r="F33" s="41"/>
      <c r="G33" s="41"/>
      <c r="H33" s="41"/>
      <c r="I33" s="41"/>
      <c r="J33" s="41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4"/>
      <c r="W33" s="57">
        <f t="shared" si="14"/>
        <v>0</v>
      </c>
      <c r="X33" s="48"/>
      <c r="Y33" s="49"/>
      <c r="Z33" s="50"/>
      <c r="AA33" s="30">
        <f t="shared" si="15"/>
        <v>0</v>
      </c>
      <c r="AB33" s="30">
        <f>AA33*0.3</f>
        <v>0</v>
      </c>
      <c r="AC33" s="30"/>
      <c r="AD33" s="61">
        <v>57376.8</v>
      </c>
      <c r="AE33" s="30" t="e">
        <f>X33-AD33-#REF!</f>
        <v>#REF!</v>
      </c>
      <c r="AF33">
        <f t="shared" si="16"/>
        <v>0</v>
      </c>
    </row>
    <row r="34" spans="1:32" ht="12.75">
      <c r="A34" s="41">
        <f t="shared" si="17"/>
        <v>4</v>
      </c>
      <c r="B34" s="41" t="s">
        <v>77</v>
      </c>
      <c r="C34" s="41" t="s">
        <v>78</v>
      </c>
      <c r="D34" s="41"/>
      <c r="E34" s="41"/>
      <c r="F34" s="41"/>
      <c r="G34" s="41"/>
      <c r="H34" s="41"/>
      <c r="I34" s="41"/>
      <c r="J34" s="4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4"/>
      <c r="W34" s="57">
        <f t="shared" si="14"/>
        <v>0</v>
      </c>
      <c r="X34" s="48"/>
      <c r="Y34" s="49"/>
      <c r="Z34" s="50"/>
      <c r="AA34" s="30">
        <f t="shared" si="15"/>
        <v>0</v>
      </c>
      <c r="AB34" s="30">
        <f aca="true" t="shared" si="18" ref="AB34:AB40">AA34*0.1</f>
        <v>0</v>
      </c>
      <c r="AC34" s="30"/>
      <c r="AD34" s="30">
        <f>'[2]01.01.17(з мінім)'!$M$30</f>
        <v>42240</v>
      </c>
      <c r="AE34" s="30" t="e">
        <f>X34-AD34-#REF!</f>
        <v>#REF!</v>
      </c>
      <c r="AF34">
        <f t="shared" si="16"/>
        <v>0</v>
      </c>
    </row>
    <row r="35" spans="1:32" ht="12.75">
      <c r="A35" s="41">
        <f t="shared" si="17"/>
        <v>5</v>
      </c>
      <c r="B35" s="41" t="s">
        <v>77</v>
      </c>
      <c r="C35" s="41" t="s">
        <v>79</v>
      </c>
      <c r="D35" s="41"/>
      <c r="E35" s="41"/>
      <c r="F35" s="41"/>
      <c r="G35" s="41"/>
      <c r="H35" s="41"/>
      <c r="I35" s="41"/>
      <c r="J35" s="4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4"/>
      <c r="W35" s="57">
        <f t="shared" si="14"/>
        <v>0</v>
      </c>
      <c r="X35" s="48"/>
      <c r="Y35" s="49"/>
      <c r="Z35" s="50"/>
      <c r="AA35" s="30">
        <f t="shared" si="15"/>
        <v>0</v>
      </c>
      <c r="AB35" s="30">
        <f t="shared" si="18"/>
        <v>0</v>
      </c>
      <c r="AC35" s="30"/>
      <c r="AD35" s="30">
        <f>AD34</f>
        <v>42240</v>
      </c>
      <c r="AE35" s="30" t="e">
        <f>X35-AD35-#REF!</f>
        <v>#REF!</v>
      </c>
      <c r="AF35">
        <f t="shared" si="16"/>
        <v>0</v>
      </c>
    </row>
    <row r="36" spans="1:32" ht="12.75">
      <c r="A36" s="41">
        <f t="shared" si="17"/>
        <v>6</v>
      </c>
      <c r="B36" s="41" t="s">
        <v>80</v>
      </c>
      <c r="C36" s="41" t="s">
        <v>81</v>
      </c>
      <c r="D36" s="41"/>
      <c r="E36" s="41"/>
      <c r="F36" s="41"/>
      <c r="G36" s="41"/>
      <c r="H36" s="41"/>
      <c r="I36" s="41"/>
      <c r="J36" s="4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4"/>
      <c r="W36" s="57">
        <f t="shared" si="14"/>
        <v>0</v>
      </c>
      <c r="X36" s="48"/>
      <c r="Y36" s="49"/>
      <c r="Z36" s="50"/>
      <c r="AA36" s="30">
        <f t="shared" si="15"/>
        <v>0</v>
      </c>
      <c r="AB36" s="30">
        <f t="shared" si="18"/>
        <v>0</v>
      </c>
      <c r="AC36" s="30"/>
      <c r="AD36" s="30">
        <f>AD35</f>
        <v>42240</v>
      </c>
      <c r="AE36" s="30" t="e">
        <f>X36-AD36-#REF!</f>
        <v>#REF!</v>
      </c>
      <c r="AF36">
        <f t="shared" si="16"/>
        <v>0</v>
      </c>
    </row>
    <row r="37" spans="1:32" ht="12.75">
      <c r="A37" s="41">
        <f t="shared" si="17"/>
        <v>7</v>
      </c>
      <c r="B37" s="41" t="s">
        <v>80</v>
      </c>
      <c r="C37" s="41" t="s">
        <v>82</v>
      </c>
      <c r="D37" s="41"/>
      <c r="E37" s="41"/>
      <c r="F37" s="41"/>
      <c r="G37" s="41"/>
      <c r="H37" s="41"/>
      <c r="I37" s="41"/>
      <c r="J37" s="41"/>
      <c r="K37" s="47">
        <f aca="true" t="shared" si="19" ref="K37:V37">ROUNDUP(K12*0.15,0)</f>
        <v>370</v>
      </c>
      <c r="L37" s="47">
        <f t="shared" si="19"/>
        <v>740</v>
      </c>
      <c r="M37" s="47">
        <f t="shared" si="19"/>
        <v>0</v>
      </c>
      <c r="N37" s="47">
        <f t="shared" si="19"/>
        <v>370</v>
      </c>
      <c r="O37" s="47">
        <f t="shared" si="19"/>
        <v>389</v>
      </c>
      <c r="P37" s="47">
        <f t="shared" si="19"/>
        <v>389</v>
      </c>
      <c r="Q37" s="47">
        <f t="shared" si="19"/>
        <v>389</v>
      </c>
      <c r="R37" s="47">
        <f t="shared" si="19"/>
        <v>389</v>
      </c>
      <c r="S37" s="47">
        <f t="shared" si="19"/>
        <v>389</v>
      </c>
      <c r="T37" s="47">
        <f t="shared" si="19"/>
        <v>389</v>
      </c>
      <c r="U37" s="47">
        <f t="shared" si="19"/>
        <v>389</v>
      </c>
      <c r="V37" s="47">
        <f t="shared" si="19"/>
        <v>407</v>
      </c>
      <c r="W37" s="57">
        <f t="shared" si="14"/>
        <v>4610</v>
      </c>
      <c r="X37" s="48"/>
      <c r="Y37" s="49"/>
      <c r="Z37" s="50"/>
      <c r="AA37" s="30">
        <f t="shared" si="15"/>
        <v>92.5</v>
      </c>
      <c r="AB37" s="30">
        <f t="shared" si="18"/>
        <v>9.25</v>
      </c>
      <c r="AC37" s="30"/>
      <c r="AD37">
        <v>48000</v>
      </c>
      <c r="AE37" s="30" t="e">
        <f>X37-AD37-#REF!</f>
        <v>#REF!</v>
      </c>
      <c r="AF37">
        <f t="shared" si="16"/>
        <v>384.1666666666667</v>
      </c>
    </row>
    <row r="38" spans="1:32" ht="12.75">
      <c r="A38" s="41">
        <f t="shared" si="17"/>
        <v>8</v>
      </c>
      <c r="B38" s="41" t="s">
        <v>83</v>
      </c>
      <c r="C38" s="41" t="s">
        <v>143</v>
      </c>
      <c r="D38" s="41"/>
      <c r="E38" s="41"/>
      <c r="F38" s="41"/>
      <c r="G38" s="41"/>
      <c r="H38" s="41"/>
      <c r="I38" s="41"/>
      <c r="J38" s="41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4"/>
      <c r="W38" s="57">
        <f t="shared" si="14"/>
        <v>0</v>
      </c>
      <c r="X38" s="48"/>
      <c r="Y38" s="49"/>
      <c r="Z38" s="50"/>
      <c r="AA38" s="30">
        <f t="shared" si="15"/>
        <v>0</v>
      </c>
      <c r="AB38" s="30">
        <f t="shared" si="18"/>
        <v>0</v>
      </c>
      <c r="AC38" s="30"/>
      <c r="AD38">
        <v>46002</v>
      </c>
      <c r="AE38" s="30" t="e">
        <f>X38-AD38-#REF!</f>
        <v>#REF!</v>
      </c>
      <c r="AF38">
        <f t="shared" si="16"/>
        <v>0</v>
      </c>
    </row>
    <row r="39" spans="1:32" ht="12.75">
      <c r="A39" s="41">
        <f t="shared" si="17"/>
        <v>9</v>
      </c>
      <c r="B39" s="41" t="s">
        <v>77</v>
      </c>
      <c r="C39" s="41" t="s">
        <v>84</v>
      </c>
      <c r="D39" s="41"/>
      <c r="E39" s="41"/>
      <c r="F39" s="41"/>
      <c r="G39" s="41"/>
      <c r="H39" s="41"/>
      <c r="I39" s="41"/>
      <c r="J39" s="4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4"/>
      <c r="W39" s="57">
        <f t="shared" si="14"/>
        <v>0</v>
      </c>
      <c r="X39" s="48"/>
      <c r="Y39" s="49"/>
      <c r="Z39" s="50"/>
      <c r="AA39" s="30">
        <f t="shared" si="15"/>
        <v>0</v>
      </c>
      <c r="AB39" s="30">
        <f t="shared" si="18"/>
        <v>0</v>
      </c>
      <c r="AC39" s="30"/>
      <c r="AD39" s="30">
        <f>AD36</f>
        <v>42240</v>
      </c>
      <c r="AE39" s="30" t="e">
        <f>X39-AD39-#REF!</f>
        <v>#REF!</v>
      </c>
      <c r="AF39">
        <f t="shared" si="16"/>
        <v>0</v>
      </c>
    </row>
    <row r="40" spans="1:32" ht="12.75">
      <c r="A40" s="41">
        <f t="shared" si="17"/>
        <v>10</v>
      </c>
      <c r="B40" s="41" t="s">
        <v>77</v>
      </c>
      <c r="C40" s="41" t="s">
        <v>85</v>
      </c>
      <c r="D40" s="41"/>
      <c r="E40" s="41"/>
      <c r="F40" s="41"/>
      <c r="G40" s="41"/>
      <c r="H40" s="41"/>
      <c r="I40" s="41"/>
      <c r="J40" s="41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4"/>
      <c r="W40" s="57">
        <f t="shared" si="14"/>
        <v>0</v>
      </c>
      <c r="X40" s="48"/>
      <c r="Y40" s="49"/>
      <c r="Z40" s="50"/>
      <c r="AA40" s="30">
        <f t="shared" si="15"/>
        <v>0</v>
      </c>
      <c r="AB40" s="30">
        <f t="shared" si="18"/>
        <v>0</v>
      </c>
      <c r="AC40" s="30"/>
      <c r="AD40" s="30">
        <f>AD39</f>
        <v>42240</v>
      </c>
      <c r="AE40" s="30" t="e">
        <f>X40-AD40-#REF!</f>
        <v>#REF!</v>
      </c>
      <c r="AF40">
        <f t="shared" si="16"/>
        <v>0</v>
      </c>
    </row>
    <row r="41" spans="1:32" ht="12.75">
      <c r="A41" s="41">
        <f t="shared" si="17"/>
        <v>11</v>
      </c>
      <c r="B41" s="41" t="s">
        <v>75</v>
      </c>
      <c r="C41" s="41" t="s">
        <v>116</v>
      </c>
      <c r="D41" s="41"/>
      <c r="E41" s="41"/>
      <c r="F41" s="41"/>
      <c r="G41" s="41"/>
      <c r="H41" s="41"/>
      <c r="I41" s="41"/>
      <c r="J41" s="41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4"/>
      <c r="W41" s="57">
        <f t="shared" si="14"/>
        <v>0</v>
      </c>
      <c r="X41" s="48"/>
      <c r="Y41" s="49"/>
      <c r="Z41" s="50"/>
      <c r="AA41" s="30">
        <f t="shared" si="15"/>
        <v>0</v>
      </c>
      <c r="AB41" s="30">
        <f>AA41*0.3</f>
        <v>0</v>
      </c>
      <c r="AC41" s="30"/>
      <c r="AD41" s="61">
        <v>57376.8</v>
      </c>
      <c r="AE41" s="30" t="e">
        <f>X41-AD41-#REF!</f>
        <v>#REF!</v>
      </c>
      <c r="AF41">
        <f t="shared" si="16"/>
        <v>0</v>
      </c>
    </row>
    <row r="42" spans="1:32" ht="12.75">
      <c r="A42" s="41">
        <f t="shared" si="17"/>
        <v>12</v>
      </c>
      <c r="B42" s="41" t="s">
        <v>77</v>
      </c>
      <c r="C42" s="41" t="s">
        <v>117</v>
      </c>
      <c r="D42" s="41"/>
      <c r="E42" s="41"/>
      <c r="F42" s="41"/>
      <c r="G42" s="41"/>
      <c r="H42" s="41"/>
      <c r="I42" s="41"/>
      <c r="J42" s="41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4"/>
      <c r="W42" s="57">
        <f t="shared" si="14"/>
        <v>0</v>
      </c>
      <c r="X42" s="48"/>
      <c r="Y42" s="49"/>
      <c r="Z42" s="50"/>
      <c r="AA42" s="30">
        <f t="shared" si="15"/>
        <v>0</v>
      </c>
      <c r="AB42" s="30">
        <f>AA42*0.1</f>
        <v>0</v>
      </c>
      <c r="AC42" s="30"/>
      <c r="AD42" s="30">
        <f>AD40</f>
        <v>42240</v>
      </c>
      <c r="AE42" s="30" t="e">
        <f>X42-AD42-#REF!</f>
        <v>#REF!</v>
      </c>
      <c r="AF42">
        <f t="shared" si="16"/>
        <v>0</v>
      </c>
    </row>
    <row r="43" spans="1:32" ht="12.75">
      <c r="A43" s="41">
        <f t="shared" si="17"/>
        <v>13</v>
      </c>
      <c r="B43" s="41" t="s">
        <v>77</v>
      </c>
      <c r="C43" s="41" t="s">
        <v>118</v>
      </c>
      <c r="D43" s="41"/>
      <c r="E43" s="41"/>
      <c r="F43" s="41"/>
      <c r="G43" s="41"/>
      <c r="H43" s="41"/>
      <c r="I43" s="41"/>
      <c r="J43" s="41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4"/>
      <c r="W43" s="57">
        <f t="shared" si="14"/>
        <v>0</v>
      </c>
      <c r="X43" s="48"/>
      <c r="Y43" s="49"/>
      <c r="Z43" s="50"/>
      <c r="AA43" s="30">
        <f t="shared" si="15"/>
        <v>0</v>
      </c>
      <c r="AB43" s="30">
        <f>AA43*0.1</f>
        <v>0</v>
      </c>
      <c r="AC43" s="30"/>
      <c r="AD43" s="30">
        <f>AD42</f>
        <v>42240</v>
      </c>
      <c r="AE43" s="30" t="e">
        <f>X43-AD43-#REF!</f>
        <v>#REF!</v>
      </c>
      <c r="AF43">
        <f t="shared" si="16"/>
        <v>0</v>
      </c>
    </row>
    <row r="44" spans="1:32" ht="12.75">
      <c r="A44" s="41">
        <f t="shared" si="17"/>
        <v>14</v>
      </c>
      <c r="B44" s="41" t="s">
        <v>77</v>
      </c>
      <c r="C44" s="41" t="s">
        <v>119</v>
      </c>
      <c r="D44" s="41"/>
      <c r="E44" s="41"/>
      <c r="F44" s="41"/>
      <c r="G44" s="41"/>
      <c r="H44" s="41"/>
      <c r="I44" s="41"/>
      <c r="J44" s="41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4"/>
      <c r="W44" s="57">
        <f t="shared" si="14"/>
        <v>0</v>
      </c>
      <c r="X44" s="48"/>
      <c r="Y44" s="49"/>
      <c r="Z44" s="50"/>
      <c r="AA44" s="30">
        <f t="shared" si="15"/>
        <v>0</v>
      </c>
      <c r="AB44" s="30">
        <f>AA44*0.1</f>
        <v>0</v>
      </c>
      <c r="AC44" s="30"/>
      <c r="AD44" s="30">
        <f>AD43</f>
        <v>42240</v>
      </c>
      <c r="AE44" s="30" t="e">
        <f>X44-AD44-#REF!</f>
        <v>#REF!</v>
      </c>
      <c r="AF44">
        <f t="shared" si="16"/>
        <v>0</v>
      </c>
    </row>
    <row r="45" spans="1:31" ht="12.75">
      <c r="A45" s="41">
        <f t="shared" si="17"/>
        <v>15</v>
      </c>
      <c r="B45" s="41" t="s">
        <v>77</v>
      </c>
      <c r="C45" s="41" t="s">
        <v>136</v>
      </c>
      <c r="D45" s="41"/>
      <c r="E45" s="41"/>
      <c r="F45" s="41"/>
      <c r="G45" s="41"/>
      <c r="H45" s="41"/>
      <c r="I45" s="41"/>
      <c r="J45" s="41"/>
      <c r="K45" s="47">
        <f aca="true" t="shared" si="20" ref="K45:V45">ROUNDUP(K20*0.15,0)</f>
        <v>237</v>
      </c>
      <c r="L45" s="47">
        <f t="shared" si="20"/>
        <v>237</v>
      </c>
      <c r="M45" s="47">
        <f t="shared" si="20"/>
        <v>473</v>
      </c>
      <c r="N45" s="47">
        <f t="shared" si="20"/>
        <v>0</v>
      </c>
      <c r="O45" s="47">
        <f t="shared" si="20"/>
        <v>249</v>
      </c>
      <c r="P45" s="47">
        <f t="shared" si="20"/>
        <v>249</v>
      </c>
      <c r="Q45" s="47">
        <f t="shared" si="20"/>
        <v>249</v>
      </c>
      <c r="R45" s="47">
        <f t="shared" si="20"/>
        <v>249</v>
      </c>
      <c r="S45" s="47">
        <f t="shared" si="20"/>
        <v>249</v>
      </c>
      <c r="T45" s="47">
        <f t="shared" si="20"/>
        <v>249</v>
      </c>
      <c r="U45" s="47">
        <f t="shared" si="20"/>
        <v>249</v>
      </c>
      <c r="V45" s="47">
        <f t="shared" si="20"/>
        <v>261</v>
      </c>
      <c r="W45" s="57">
        <f t="shared" si="14"/>
        <v>2951</v>
      </c>
      <c r="X45" s="48"/>
      <c r="Y45" s="49"/>
      <c r="Z45" s="50"/>
      <c r="AA45" s="30"/>
      <c r="AB45" s="30"/>
      <c r="AC45" s="30"/>
      <c r="AD45" s="30"/>
      <c r="AE45" s="30"/>
    </row>
    <row r="46" spans="1:31" ht="12.75">
      <c r="A46" s="41">
        <f t="shared" si="17"/>
        <v>16</v>
      </c>
      <c r="B46" s="41" t="s">
        <v>77</v>
      </c>
      <c r="C46" s="41" t="s">
        <v>137</v>
      </c>
      <c r="D46" s="41"/>
      <c r="E46" s="41"/>
      <c r="F46" s="41"/>
      <c r="G46" s="41"/>
      <c r="H46" s="41"/>
      <c r="I46" s="41"/>
      <c r="J46" s="4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57">
        <f t="shared" si="14"/>
        <v>0</v>
      </c>
      <c r="X46" s="48"/>
      <c r="Y46" s="49"/>
      <c r="Z46" s="50"/>
      <c r="AA46" s="30"/>
      <c r="AB46" s="30"/>
      <c r="AC46" s="30"/>
      <c r="AD46" s="30"/>
      <c r="AE46" s="30"/>
    </row>
    <row r="47" spans="1:31" ht="12.75">
      <c r="A47" s="41">
        <v>17</v>
      </c>
      <c r="B47" s="41" t="s">
        <v>77</v>
      </c>
      <c r="C47" s="41" t="s">
        <v>142</v>
      </c>
      <c r="D47" s="41"/>
      <c r="E47" s="41"/>
      <c r="F47" s="41"/>
      <c r="G47" s="41"/>
      <c r="H47" s="41"/>
      <c r="I47" s="41"/>
      <c r="J47" s="41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4"/>
      <c r="W47" s="57">
        <f t="shared" si="14"/>
        <v>0</v>
      </c>
      <c r="X47" s="48"/>
      <c r="Y47" s="49"/>
      <c r="Z47" s="50"/>
      <c r="AA47" s="30"/>
      <c r="AB47" s="30"/>
      <c r="AC47" s="30"/>
      <c r="AD47" s="30"/>
      <c r="AE47" s="30"/>
    </row>
    <row r="48" spans="1:31" ht="12.75">
      <c r="A48" s="41">
        <f>A46+1</f>
        <v>17</v>
      </c>
      <c r="B48" s="41" t="s">
        <v>120</v>
      </c>
      <c r="C48" s="41" t="s">
        <v>138</v>
      </c>
      <c r="D48" s="41"/>
      <c r="E48" s="41"/>
      <c r="F48" s="41"/>
      <c r="G48" s="41"/>
      <c r="H48" s="41"/>
      <c r="I48" s="41"/>
      <c r="J48" s="41"/>
      <c r="K48" s="47">
        <f aca="true" t="shared" si="21" ref="K48:V48">ROUNDUP(K23*0.15,0)</f>
        <v>208</v>
      </c>
      <c r="L48" s="47">
        <f t="shared" si="21"/>
        <v>208</v>
      </c>
      <c r="M48" s="47">
        <f t="shared" si="21"/>
        <v>208</v>
      </c>
      <c r="N48" s="47">
        <f t="shared" si="21"/>
        <v>208</v>
      </c>
      <c r="O48" s="47">
        <f t="shared" si="21"/>
        <v>219</v>
      </c>
      <c r="P48" s="47">
        <f t="shared" si="21"/>
        <v>219</v>
      </c>
      <c r="Q48" s="47">
        <f t="shared" si="21"/>
        <v>437</v>
      </c>
      <c r="R48" s="47">
        <f t="shared" si="21"/>
        <v>0</v>
      </c>
      <c r="S48" s="47">
        <f t="shared" si="21"/>
        <v>219</v>
      </c>
      <c r="T48" s="47">
        <f t="shared" si="21"/>
        <v>219</v>
      </c>
      <c r="U48" s="47">
        <f t="shared" si="21"/>
        <v>219</v>
      </c>
      <c r="V48" s="47">
        <f t="shared" si="21"/>
        <v>229</v>
      </c>
      <c r="W48" s="57">
        <f t="shared" si="14"/>
        <v>2593</v>
      </c>
      <c r="X48" s="48"/>
      <c r="Y48" s="49"/>
      <c r="Z48" s="50"/>
      <c r="AA48" s="30"/>
      <c r="AB48" s="30"/>
      <c r="AC48" s="30"/>
      <c r="AD48" s="30"/>
      <c r="AE48" s="30"/>
    </row>
    <row r="49" spans="1:32" ht="12.75">
      <c r="A49" s="41">
        <f>A48+1</f>
        <v>18</v>
      </c>
      <c r="B49" s="41" t="s">
        <v>120</v>
      </c>
      <c r="C49" s="41" t="s">
        <v>121</v>
      </c>
      <c r="D49" s="41"/>
      <c r="E49" s="41"/>
      <c r="F49" s="41"/>
      <c r="G49" s="41"/>
      <c r="H49" s="41"/>
      <c r="I49" s="41"/>
      <c r="J49" s="41"/>
      <c r="K49" s="47">
        <f aca="true" t="shared" si="22" ref="K49:V49">ROUNDUP(K24*0.15,0)</f>
        <v>208</v>
      </c>
      <c r="L49" s="47">
        <f t="shared" si="22"/>
        <v>208</v>
      </c>
      <c r="M49" s="47">
        <f t="shared" si="22"/>
        <v>208</v>
      </c>
      <c r="N49" s="47">
        <f t="shared" si="22"/>
        <v>208</v>
      </c>
      <c r="O49" s="47">
        <f t="shared" si="22"/>
        <v>219</v>
      </c>
      <c r="P49" s="47">
        <f t="shared" si="22"/>
        <v>437</v>
      </c>
      <c r="Q49" s="47">
        <f t="shared" si="22"/>
        <v>0</v>
      </c>
      <c r="R49" s="47">
        <f t="shared" si="22"/>
        <v>219</v>
      </c>
      <c r="S49" s="47">
        <f t="shared" si="22"/>
        <v>219</v>
      </c>
      <c r="T49" s="47">
        <f t="shared" si="22"/>
        <v>219</v>
      </c>
      <c r="U49" s="47">
        <f t="shared" si="22"/>
        <v>219</v>
      </c>
      <c r="V49" s="47">
        <f t="shared" si="22"/>
        <v>229</v>
      </c>
      <c r="W49" s="57">
        <f t="shared" si="14"/>
        <v>2593</v>
      </c>
      <c r="X49" s="48"/>
      <c r="Y49" s="49"/>
      <c r="Z49" s="50"/>
      <c r="AA49" s="30">
        <f>K49/4</f>
        <v>52</v>
      </c>
      <c r="AB49" s="30">
        <f>AA49*0.1</f>
        <v>5.2</v>
      </c>
      <c r="AC49" s="30"/>
      <c r="AD49">
        <v>48000</v>
      </c>
      <c r="AE49" s="30" t="e">
        <f>X49-AD49-#REF!</f>
        <v>#REF!</v>
      </c>
      <c r="AF49">
        <f>W49/12</f>
        <v>216.08333333333334</v>
      </c>
    </row>
    <row r="50" spans="2:32" s="55" customFormat="1" ht="12.75">
      <c r="B50" s="52" t="s">
        <v>70</v>
      </c>
      <c r="C50" s="52"/>
      <c r="D50" s="52"/>
      <c r="E50" s="52"/>
      <c r="F50" s="53"/>
      <c r="G50" s="53"/>
      <c r="H50" s="53"/>
      <c r="I50" s="53"/>
      <c r="J50" s="53"/>
      <c r="K50" s="54">
        <f aca="true" t="shared" si="23" ref="K50:U50">ROUND(SUM(K31:K40)/10,0)*10</f>
        <v>370</v>
      </c>
      <c r="L50" s="54">
        <f t="shared" si="23"/>
        <v>740</v>
      </c>
      <c r="M50" s="54">
        <f t="shared" si="23"/>
        <v>0</v>
      </c>
      <c r="N50" s="54">
        <f t="shared" si="23"/>
        <v>370</v>
      </c>
      <c r="O50" s="54">
        <f t="shared" si="23"/>
        <v>390</v>
      </c>
      <c r="P50" s="54">
        <f t="shared" si="23"/>
        <v>390</v>
      </c>
      <c r="Q50" s="54">
        <f t="shared" si="23"/>
        <v>390</v>
      </c>
      <c r="R50" s="54">
        <f t="shared" si="23"/>
        <v>390</v>
      </c>
      <c r="S50" s="54">
        <f t="shared" si="23"/>
        <v>390</v>
      </c>
      <c r="T50" s="54">
        <f t="shared" si="23"/>
        <v>390</v>
      </c>
      <c r="U50" s="54">
        <f t="shared" si="23"/>
        <v>390</v>
      </c>
      <c r="V50" s="54">
        <f>ROUNDDOWN(SUM(V31:V40)/10,0)*10</f>
        <v>400</v>
      </c>
      <c r="W50" s="54">
        <f aca="true" t="shared" si="24" ref="W50:AB50">SUM(W31:W49)</f>
        <v>12747</v>
      </c>
      <c r="X50" s="54">
        <f t="shared" si="24"/>
        <v>0</v>
      </c>
      <c r="Y50" s="54">
        <f t="shared" si="24"/>
        <v>0</v>
      </c>
      <c r="Z50" s="54">
        <f t="shared" si="24"/>
        <v>0</v>
      </c>
      <c r="AA50" s="30">
        <f t="shared" si="24"/>
        <v>144.5</v>
      </c>
      <c r="AB50" s="30">
        <f t="shared" si="24"/>
        <v>14.45</v>
      </c>
      <c r="AC50" s="30"/>
      <c r="AD50" s="59">
        <f>SUM(AD31:AD49)</f>
        <v>709444.8</v>
      </c>
      <c r="AE50" s="59" t="e">
        <f>SUM(AE31:AE49)</f>
        <v>#REF!</v>
      </c>
      <c r="AF50" s="55">
        <v>41520</v>
      </c>
    </row>
    <row r="51" spans="1:21" ht="12.75">
      <c r="A51">
        <v>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2:22" ht="15.75">
      <c r="B52" s="62" t="s">
        <v>140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6" s="39" customFormat="1" ht="12" customHeight="1">
      <c r="A53" s="106" t="s">
        <v>62</v>
      </c>
      <c r="B53" s="106" t="s">
        <v>63</v>
      </c>
      <c r="C53" s="110" t="s">
        <v>64</v>
      </c>
      <c r="D53" s="110" t="s">
        <v>65</v>
      </c>
      <c r="E53" s="106" t="s">
        <v>66</v>
      </c>
      <c r="F53" s="112" t="s">
        <v>67</v>
      </c>
      <c r="G53" s="107" t="s">
        <v>111</v>
      </c>
      <c r="H53" s="108"/>
      <c r="I53" s="109"/>
      <c r="J53" s="106" t="s">
        <v>68</v>
      </c>
      <c r="K53" s="102" t="s">
        <v>124</v>
      </c>
      <c r="L53" s="102" t="s">
        <v>125</v>
      </c>
      <c r="M53" s="102" t="s">
        <v>126</v>
      </c>
      <c r="N53" s="102" t="s">
        <v>127</v>
      </c>
      <c r="O53" s="102" t="s">
        <v>128</v>
      </c>
      <c r="P53" s="102" t="s">
        <v>129</v>
      </c>
      <c r="Q53" s="102" t="s">
        <v>130</v>
      </c>
      <c r="R53" s="102" t="s">
        <v>131</v>
      </c>
      <c r="S53" s="102" t="s">
        <v>132</v>
      </c>
      <c r="T53" s="102" t="s">
        <v>133</v>
      </c>
      <c r="U53" s="102" t="s">
        <v>134</v>
      </c>
      <c r="V53" s="102" t="s">
        <v>69</v>
      </c>
      <c r="W53" s="104" t="s">
        <v>70</v>
      </c>
      <c r="X53" s="105">
        <v>1110</v>
      </c>
      <c r="Y53" s="105">
        <v>1120</v>
      </c>
      <c r="Z53" s="101" t="s">
        <v>71</v>
      </c>
    </row>
    <row r="54" spans="1:26" s="39" customFormat="1" ht="29.25" customHeight="1">
      <c r="A54" s="106"/>
      <c r="B54" s="106"/>
      <c r="C54" s="111"/>
      <c r="D54" s="111"/>
      <c r="E54" s="106"/>
      <c r="F54" s="113"/>
      <c r="G54" s="40" t="s">
        <v>112</v>
      </c>
      <c r="H54" s="40" t="s">
        <v>113</v>
      </c>
      <c r="I54" s="40" t="s">
        <v>114</v>
      </c>
      <c r="J54" s="106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4"/>
      <c r="X54" s="105"/>
      <c r="Y54" s="105"/>
      <c r="Z54" s="101"/>
    </row>
    <row r="55" spans="1:26" ht="12.75">
      <c r="A55" s="41"/>
      <c r="B55" s="42">
        <v>120300</v>
      </c>
      <c r="C55" s="42"/>
      <c r="D55" s="41"/>
      <c r="E55" s="41"/>
      <c r="F55" s="41"/>
      <c r="G55" s="41"/>
      <c r="H55" s="41"/>
      <c r="I55" s="41"/>
      <c r="J55" s="41"/>
      <c r="K55" s="47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3"/>
      <c r="X55" s="45"/>
      <c r="Y55" s="45"/>
      <c r="Z55" s="46"/>
    </row>
    <row r="56" spans="1:32" ht="12.75">
      <c r="A56" s="41">
        <v>1</v>
      </c>
      <c r="B56" s="41" t="s">
        <v>37</v>
      </c>
      <c r="C56" s="41"/>
      <c r="D56" s="41"/>
      <c r="E56" s="41"/>
      <c r="F56" s="41"/>
      <c r="G56" s="41"/>
      <c r="H56" s="41"/>
      <c r="I56" s="41"/>
      <c r="J56" s="41"/>
      <c r="K56" s="70">
        <f aca="true" t="shared" si="25" ref="K56:V56">ROUNDUP(K6*0.3,0)</f>
        <v>0</v>
      </c>
      <c r="L56" s="70">
        <f t="shared" si="25"/>
        <v>1162</v>
      </c>
      <c r="M56" s="70">
        <f t="shared" si="25"/>
        <v>1162</v>
      </c>
      <c r="N56" s="70">
        <f t="shared" si="25"/>
        <v>1162</v>
      </c>
      <c r="O56" s="70">
        <f t="shared" si="25"/>
        <v>1223</v>
      </c>
      <c r="P56" s="70">
        <f t="shared" si="25"/>
        <v>1223</v>
      </c>
      <c r="Q56" s="70">
        <f t="shared" si="25"/>
        <v>1223</v>
      </c>
      <c r="R56" s="70">
        <f t="shared" si="25"/>
        <v>1223</v>
      </c>
      <c r="S56" s="70">
        <f t="shared" si="25"/>
        <v>1223</v>
      </c>
      <c r="T56" s="70">
        <f t="shared" si="25"/>
        <v>1223</v>
      </c>
      <c r="U56" s="70">
        <f t="shared" si="25"/>
        <v>1223</v>
      </c>
      <c r="V56" s="70">
        <f t="shared" si="25"/>
        <v>1280</v>
      </c>
      <c r="W56" s="57">
        <f aca="true" t="shared" si="26" ref="W56:W74">SUM(K56:V56)</f>
        <v>13327</v>
      </c>
      <c r="X56" s="48"/>
      <c r="Y56" s="49"/>
      <c r="Z56" s="50"/>
      <c r="AA56" s="30">
        <f aca="true" t="shared" si="27" ref="AA56:AA69">K56/4</f>
        <v>0</v>
      </c>
      <c r="AB56" s="30">
        <f>AA56*0.3</f>
        <v>0</v>
      </c>
      <c r="AC56" s="30"/>
      <c r="AD56" s="60">
        <f>'[2]01.01.17(з мінім)'!$M$26</f>
        <v>60403.200000000004</v>
      </c>
      <c r="AE56" s="30" t="e">
        <f>X56-AD56-#REF!</f>
        <v>#REF!</v>
      </c>
      <c r="AF56">
        <f aca="true" t="shared" si="28" ref="AF56:AF69">W56/12</f>
        <v>1110.5833333333333</v>
      </c>
    </row>
    <row r="57" spans="1:32" ht="12.75">
      <c r="A57" s="41">
        <f aca="true" t="shared" si="29" ref="A57:A71">A56+1</f>
        <v>2</v>
      </c>
      <c r="B57" s="51" t="s">
        <v>72</v>
      </c>
      <c r="C57" s="51" t="s">
        <v>73</v>
      </c>
      <c r="D57" s="41"/>
      <c r="E57" s="41"/>
      <c r="F57" s="41"/>
      <c r="G57" s="41"/>
      <c r="H57" s="41"/>
      <c r="I57" s="41"/>
      <c r="J57" s="41"/>
      <c r="K57" s="70">
        <f aca="true" t="shared" si="30" ref="K57:V57">ROUNDUP(K7*0.3,0)</f>
        <v>1046</v>
      </c>
      <c r="L57" s="70">
        <f t="shared" si="30"/>
        <v>1046</v>
      </c>
      <c r="M57" s="70">
        <f t="shared" si="30"/>
        <v>1046</v>
      </c>
      <c r="N57" s="70">
        <f t="shared" si="30"/>
        <v>2091</v>
      </c>
      <c r="O57" s="70"/>
      <c r="P57" s="70">
        <f t="shared" si="30"/>
        <v>1101</v>
      </c>
      <c r="Q57" s="70">
        <f t="shared" si="30"/>
        <v>1101</v>
      </c>
      <c r="R57" s="70">
        <f t="shared" si="30"/>
        <v>1101</v>
      </c>
      <c r="S57" s="70">
        <f t="shared" si="30"/>
        <v>1101</v>
      </c>
      <c r="T57" s="70">
        <f t="shared" si="30"/>
        <v>1101</v>
      </c>
      <c r="U57" s="70">
        <f t="shared" si="30"/>
        <v>1101</v>
      </c>
      <c r="V57" s="70">
        <f t="shared" si="30"/>
        <v>1152</v>
      </c>
      <c r="W57" s="57">
        <f t="shared" si="26"/>
        <v>12987</v>
      </c>
      <c r="X57" s="48"/>
      <c r="Y57" s="49"/>
      <c r="Z57" s="50"/>
      <c r="AA57" s="30">
        <f t="shared" si="27"/>
        <v>261.5</v>
      </c>
      <c r="AB57" s="30">
        <f>AA57*0.3</f>
        <v>78.45</v>
      </c>
      <c r="AC57" s="30"/>
      <c r="AD57" s="60">
        <f>'[2]01.01.17(з мінім)'!$M$27</f>
        <v>54366</v>
      </c>
      <c r="AE57" s="30" t="e">
        <f>X57-AD57-#REF!</f>
        <v>#REF!</v>
      </c>
      <c r="AF57">
        <f t="shared" si="28"/>
        <v>1082.25</v>
      </c>
    </row>
    <row r="58" spans="1:32" ht="12.75">
      <c r="A58" s="41">
        <f t="shared" si="29"/>
        <v>3</v>
      </c>
      <c r="B58" s="41" t="s">
        <v>75</v>
      </c>
      <c r="C58" s="41" t="s">
        <v>76</v>
      </c>
      <c r="D58" s="41"/>
      <c r="E58" s="41"/>
      <c r="F58" s="41"/>
      <c r="G58" s="41"/>
      <c r="H58" s="41"/>
      <c r="I58" s="41"/>
      <c r="J58" s="41"/>
      <c r="K58" s="70">
        <f aca="true" t="shared" si="31" ref="K58:V58">ROUNDUP(K8*0.3,0)</f>
        <v>0</v>
      </c>
      <c r="L58" s="70">
        <f t="shared" si="31"/>
        <v>1104</v>
      </c>
      <c r="M58" s="70">
        <f t="shared" si="31"/>
        <v>1104</v>
      </c>
      <c r="N58" s="70">
        <f t="shared" si="31"/>
        <v>1104</v>
      </c>
      <c r="O58" s="70">
        <f t="shared" si="31"/>
        <v>1162</v>
      </c>
      <c r="P58" s="70">
        <f t="shared" si="31"/>
        <v>1162</v>
      </c>
      <c r="Q58" s="70">
        <f t="shared" si="31"/>
        <v>1162</v>
      </c>
      <c r="R58" s="70">
        <f t="shared" si="31"/>
        <v>2323</v>
      </c>
      <c r="S58" s="70">
        <f t="shared" si="31"/>
        <v>0</v>
      </c>
      <c r="T58" s="70">
        <f t="shared" si="31"/>
        <v>1162</v>
      </c>
      <c r="U58" s="70">
        <f t="shared" si="31"/>
        <v>1162</v>
      </c>
      <c r="V58" s="70">
        <f t="shared" si="31"/>
        <v>1216</v>
      </c>
      <c r="W58" s="57">
        <f t="shared" si="26"/>
        <v>12661</v>
      </c>
      <c r="X58" s="48"/>
      <c r="Y58" s="49"/>
      <c r="Z58" s="50"/>
      <c r="AA58" s="30">
        <f t="shared" si="27"/>
        <v>0</v>
      </c>
      <c r="AB58" s="30">
        <f>AA58*0.3</f>
        <v>0</v>
      </c>
      <c r="AC58" s="30"/>
      <c r="AD58" s="61">
        <v>57376.8</v>
      </c>
      <c r="AE58" s="30" t="e">
        <f>X58-AD58-#REF!</f>
        <v>#REF!</v>
      </c>
      <c r="AF58">
        <f t="shared" si="28"/>
        <v>1055.0833333333333</v>
      </c>
    </row>
    <row r="59" spans="1:32" ht="12.75">
      <c r="A59" s="41">
        <f t="shared" si="29"/>
        <v>4</v>
      </c>
      <c r="B59" s="41" t="s">
        <v>77</v>
      </c>
      <c r="C59" s="41" t="s">
        <v>78</v>
      </c>
      <c r="D59" s="41"/>
      <c r="E59" s="41"/>
      <c r="F59" s="41"/>
      <c r="G59" s="41"/>
      <c r="H59" s="41"/>
      <c r="I59" s="41"/>
      <c r="J59" s="41"/>
      <c r="K59" s="70">
        <f aca="true" t="shared" si="32" ref="K59:V59">ROUNDUP(K9*0.1,0)</f>
        <v>316</v>
      </c>
      <c r="L59" s="70">
        <f t="shared" si="32"/>
        <v>316</v>
      </c>
      <c r="M59" s="70">
        <f t="shared" si="32"/>
        <v>316</v>
      </c>
      <c r="N59" s="70">
        <f t="shared" si="32"/>
        <v>316</v>
      </c>
      <c r="O59" s="70">
        <f t="shared" si="32"/>
        <v>332</v>
      </c>
      <c r="P59" s="70">
        <f t="shared" si="32"/>
        <v>664</v>
      </c>
      <c r="Q59" s="70">
        <f t="shared" si="32"/>
        <v>0</v>
      </c>
      <c r="R59" s="70">
        <f t="shared" si="32"/>
        <v>332</v>
      </c>
      <c r="S59" s="70">
        <f t="shared" si="32"/>
        <v>332</v>
      </c>
      <c r="T59" s="70">
        <f t="shared" si="32"/>
        <v>332</v>
      </c>
      <c r="U59" s="70">
        <f t="shared" si="32"/>
        <v>332</v>
      </c>
      <c r="V59" s="70">
        <f t="shared" si="32"/>
        <v>348</v>
      </c>
      <c r="W59" s="57">
        <f t="shared" si="26"/>
        <v>3936</v>
      </c>
      <c r="X59" s="48"/>
      <c r="Y59" s="49"/>
      <c r="Z59" s="50"/>
      <c r="AA59" s="30">
        <f t="shared" si="27"/>
        <v>79</v>
      </c>
      <c r="AB59" s="30">
        <f aca="true" t="shared" si="33" ref="AB59:AB65">AA59*0.1</f>
        <v>7.9</v>
      </c>
      <c r="AC59" s="30"/>
      <c r="AD59" s="30">
        <f>'[2]01.01.17(з мінім)'!$M$30</f>
        <v>42240</v>
      </c>
      <c r="AE59" s="30" t="e">
        <f>X59-AD59-#REF!</f>
        <v>#REF!</v>
      </c>
      <c r="AF59">
        <f t="shared" si="28"/>
        <v>328</v>
      </c>
    </row>
    <row r="60" spans="1:32" ht="12.75">
      <c r="A60" s="41">
        <f t="shared" si="29"/>
        <v>5</v>
      </c>
      <c r="B60" s="41" t="s">
        <v>77</v>
      </c>
      <c r="C60" s="41" t="s">
        <v>79</v>
      </c>
      <c r="D60" s="41"/>
      <c r="E60" s="41"/>
      <c r="F60" s="41"/>
      <c r="G60" s="41"/>
      <c r="H60" s="41"/>
      <c r="I60" s="41"/>
      <c r="J60" s="41"/>
      <c r="K60" s="70">
        <f aca="true" t="shared" si="34" ref="K60:V60">ROUNDUP(K10*0.1,0)</f>
        <v>316</v>
      </c>
      <c r="L60" s="70">
        <f t="shared" si="34"/>
        <v>316</v>
      </c>
      <c r="M60" s="70">
        <f t="shared" si="34"/>
        <v>316</v>
      </c>
      <c r="N60" s="70">
        <f t="shared" si="34"/>
        <v>316</v>
      </c>
      <c r="O60" s="70">
        <f t="shared" si="34"/>
        <v>332</v>
      </c>
      <c r="P60" s="70">
        <f t="shared" si="34"/>
        <v>332</v>
      </c>
      <c r="Q60" s="70">
        <f t="shared" si="34"/>
        <v>664</v>
      </c>
      <c r="R60" s="70">
        <f t="shared" si="34"/>
        <v>664</v>
      </c>
      <c r="S60" s="70">
        <f t="shared" si="34"/>
        <v>332</v>
      </c>
      <c r="T60" s="70">
        <f t="shared" si="34"/>
        <v>332</v>
      </c>
      <c r="U60" s="70">
        <f t="shared" si="34"/>
        <v>332</v>
      </c>
      <c r="V60" s="70">
        <f t="shared" si="34"/>
        <v>348</v>
      </c>
      <c r="W60" s="57">
        <f t="shared" si="26"/>
        <v>4600</v>
      </c>
      <c r="X60" s="48"/>
      <c r="Y60" s="49"/>
      <c r="Z60" s="50"/>
      <c r="AA60" s="30">
        <f t="shared" si="27"/>
        <v>79</v>
      </c>
      <c r="AB60" s="30">
        <f t="shared" si="33"/>
        <v>7.9</v>
      </c>
      <c r="AC60" s="30"/>
      <c r="AD60" s="30">
        <f>AD59</f>
        <v>42240</v>
      </c>
      <c r="AE60" s="30" t="e">
        <f>X60-AD60-#REF!</f>
        <v>#REF!</v>
      </c>
      <c r="AF60">
        <f t="shared" si="28"/>
        <v>383.3333333333333</v>
      </c>
    </row>
    <row r="61" spans="1:32" ht="12.75">
      <c r="A61" s="41">
        <f t="shared" si="29"/>
        <v>6</v>
      </c>
      <c r="B61" s="41" t="s">
        <v>80</v>
      </c>
      <c r="C61" s="41" t="s">
        <v>81</v>
      </c>
      <c r="D61" s="41"/>
      <c r="E61" s="41"/>
      <c r="F61" s="41"/>
      <c r="G61" s="41"/>
      <c r="H61" s="41"/>
      <c r="I61" s="41"/>
      <c r="J61" s="41"/>
      <c r="K61" s="70">
        <f>ROUNDUP(K11*0.3,0)</f>
        <v>740</v>
      </c>
      <c r="L61" s="70">
        <f>ROUNDUP(L11*0.3,0)</f>
        <v>740</v>
      </c>
      <c r="M61" s="70">
        <f>ROUNDUP(M11*0.3,0)</f>
        <v>740</v>
      </c>
      <c r="N61" s="70">
        <f>ROUNDUP(N11*0.3,0)</f>
        <v>740</v>
      </c>
      <c r="O61" s="70">
        <f aca="true" t="shared" si="35" ref="O61:U61">ROUNDUP(O11*0.25,0)</f>
        <v>649</v>
      </c>
      <c r="P61" s="70">
        <f t="shared" si="35"/>
        <v>649</v>
      </c>
      <c r="Q61" s="70">
        <f t="shared" si="35"/>
        <v>649</v>
      </c>
      <c r="R61" s="70">
        <f t="shared" si="35"/>
        <v>1297</v>
      </c>
      <c r="S61" s="70">
        <f t="shared" si="35"/>
        <v>0</v>
      </c>
      <c r="T61" s="70">
        <f t="shared" si="35"/>
        <v>649</v>
      </c>
      <c r="U61" s="70">
        <f t="shared" si="35"/>
        <v>649</v>
      </c>
      <c r="V61" s="70">
        <f>ROUNDUP(V11*0.2,0)</f>
        <v>543</v>
      </c>
      <c r="W61" s="57">
        <f t="shared" si="26"/>
        <v>8045</v>
      </c>
      <c r="X61" s="48"/>
      <c r="Y61" s="49"/>
      <c r="Z61" s="50"/>
      <c r="AA61" s="30">
        <f t="shared" si="27"/>
        <v>185</v>
      </c>
      <c r="AB61" s="30">
        <f t="shared" si="33"/>
        <v>18.5</v>
      </c>
      <c r="AC61" s="30"/>
      <c r="AD61" s="30">
        <f>AD60</f>
        <v>42240</v>
      </c>
      <c r="AE61" s="30" t="e">
        <f>X61-AD61-#REF!</f>
        <v>#REF!</v>
      </c>
      <c r="AF61">
        <f t="shared" si="28"/>
        <v>670.4166666666666</v>
      </c>
    </row>
    <row r="62" spans="1:32" ht="12.75">
      <c r="A62" s="41">
        <f t="shared" si="29"/>
        <v>7</v>
      </c>
      <c r="B62" s="41" t="s">
        <v>80</v>
      </c>
      <c r="C62" s="41" t="s">
        <v>82</v>
      </c>
      <c r="D62" s="41"/>
      <c r="E62" s="41"/>
      <c r="F62" s="41"/>
      <c r="G62" s="41"/>
      <c r="H62" s="41"/>
      <c r="I62" s="41"/>
      <c r="J62" s="41"/>
      <c r="K62" s="70">
        <f aca="true" t="shared" si="36" ref="K62:N63">ROUNDUP(K12*0.25,0)</f>
        <v>616</v>
      </c>
      <c r="L62" s="70">
        <f t="shared" si="36"/>
        <v>1232</v>
      </c>
      <c r="M62" s="70">
        <f t="shared" si="36"/>
        <v>0</v>
      </c>
      <c r="N62" s="70">
        <f t="shared" si="36"/>
        <v>616</v>
      </c>
      <c r="O62" s="70">
        <f aca="true" t="shared" si="37" ref="O62:U63">ROUNDUP(O12*0.2,0)</f>
        <v>519</v>
      </c>
      <c r="P62" s="70">
        <f t="shared" si="37"/>
        <v>519</v>
      </c>
      <c r="Q62" s="70">
        <f t="shared" si="37"/>
        <v>519</v>
      </c>
      <c r="R62" s="70">
        <f t="shared" si="37"/>
        <v>519</v>
      </c>
      <c r="S62" s="70">
        <f t="shared" si="37"/>
        <v>519</v>
      </c>
      <c r="T62" s="70">
        <f t="shared" si="37"/>
        <v>519</v>
      </c>
      <c r="U62" s="70">
        <f t="shared" si="37"/>
        <v>519</v>
      </c>
      <c r="V62" s="70">
        <f>ROUNDUP(V12*0.15,0)</f>
        <v>407</v>
      </c>
      <c r="W62" s="57">
        <f t="shared" si="26"/>
        <v>6504</v>
      </c>
      <c r="X62" s="48"/>
      <c r="Y62" s="49"/>
      <c r="Z62" s="50"/>
      <c r="AA62" s="30">
        <f t="shared" si="27"/>
        <v>154</v>
      </c>
      <c r="AB62" s="30">
        <f t="shared" si="33"/>
        <v>15.4</v>
      </c>
      <c r="AC62" s="30"/>
      <c r="AD62">
        <v>48000</v>
      </c>
      <c r="AE62" s="30" t="e">
        <f>X62-AD62-#REF!</f>
        <v>#REF!</v>
      </c>
      <c r="AF62">
        <f t="shared" si="28"/>
        <v>542</v>
      </c>
    </row>
    <row r="63" spans="1:32" ht="12.75">
      <c r="A63" s="41">
        <f t="shared" si="29"/>
        <v>8</v>
      </c>
      <c r="B63" s="41" t="s">
        <v>83</v>
      </c>
      <c r="C63" s="41" t="s">
        <v>143</v>
      </c>
      <c r="D63" s="41"/>
      <c r="E63" s="41"/>
      <c r="F63" s="41"/>
      <c r="G63" s="41"/>
      <c r="H63" s="41"/>
      <c r="I63" s="41"/>
      <c r="J63" s="41"/>
      <c r="K63" s="70">
        <f t="shared" si="36"/>
        <v>872</v>
      </c>
      <c r="L63" s="70">
        <f t="shared" si="36"/>
        <v>872</v>
      </c>
      <c r="M63" s="70">
        <f t="shared" si="36"/>
        <v>872</v>
      </c>
      <c r="N63" s="70">
        <f t="shared" si="36"/>
        <v>872</v>
      </c>
      <c r="O63" s="70">
        <f t="shared" si="37"/>
        <v>1468</v>
      </c>
      <c r="P63" s="70"/>
      <c r="Q63" s="70">
        <f t="shared" si="37"/>
        <v>734</v>
      </c>
      <c r="R63" s="70">
        <f t="shared" si="37"/>
        <v>734</v>
      </c>
      <c r="S63" s="70">
        <f t="shared" si="37"/>
        <v>734</v>
      </c>
      <c r="T63" s="70">
        <f t="shared" si="37"/>
        <v>734</v>
      </c>
      <c r="U63" s="70">
        <f t="shared" si="37"/>
        <v>734</v>
      </c>
      <c r="V63" s="70">
        <f>ROUNDUP(V13*0.15,0)</f>
        <v>576</v>
      </c>
      <c r="W63" s="57">
        <f t="shared" si="26"/>
        <v>9202</v>
      </c>
      <c r="X63" s="48"/>
      <c r="Y63" s="49"/>
      <c r="Z63" s="50"/>
      <c r="AA63" s="30">
        <f t="shared" si="27"/>
        <v>218</v>
      </c>
      <c r="AB63" s="30">
        <f t="shared" si="33"/>
        <v>21.8</v>
      </c>
      <c r="AC63" s="30"/>
      <c r="AD63">
        <v>46002</v>
      </c>
      <c r="AE63" s="30" t="e">
        <f>X63-AD63-#REF!</f>
        <v>#REF!</v>
      </c>
      <c r="AF63">
        <f t="shared" si="28"/>
        <v>766.8333333333334</v>
      </c>
    </row>
    <row r="64" spans="1:32" ht="12.75">
      <c r="A64" s="41">
        <f t="shared" si="29"/>
        <v>9</v>
      </c>
      <c r="B64" s="41" t="s">
        <v>77</v>
      </c>
      <c r="C64" s="41" t="s">
        <v>84</v>
      </c>
      <c r="D64" s="41"/>
      <c r="E64" s="41"/>
      <c r="F64" s="41"/>
      <c r="G64" s="41"/>
      <c r="H64" s="41"/>
      <c r="I64" s="41"/>
      <c r="J64" s="41"/>
      <c r="K64" s="70">
        <f aca="true" t="shared" si="38" ref="K64:V64">ROUNDUP(K14*0.1,0)</f>
        <v>631</v>
      </c>
      <c r="L64" s="70"/>
      <c r="M64" s="70">
        <f t="shared" si="38"/>
        <v>316</v>
      </c>
      <c r="N64" s="70">
        <f t="shared" si="38"/>
        <v>316</v>
      </c>
      <c r="O64" s="70">
        <f t="shared" si="38"/>
        <v>332</v>
      </c>
      <c r="P64" s="70">
        <f t="shared" si="38"/>
        <v>332</v>
      </c>
      <c r="Q64" s="70">
        <f t="shared" si="38"/>
        <v>332</v>
      </c>
      <c r="R64" s="70">
        <f t="shared" si="38"/>
        <v>332</v>
      </c>
      <c r="S64" s="70">
        <f t="shared" si="38"/>
        <v>332</v>
      </c>
      <c r="T64" s="70">
        <f t="shared" si="38"/>
        <v>332</v>
      </c>
      <c r="U64" s="70">
        <f t="shared" si="38"/>
        <v>332</v>
      </c>
      <c r="V64" s="70">
        <f t="shared" si="38"/>
        <v>348</v>
      </c>
      <c r="W64" s="57">
        <f t="shared" si="26"/>
        <v>3935</v>
      </c>
      <c r="X64" s="48"/>
      <c r="Y64" s="49"/>
      <c r="Z64" s="50"/>
      <c r="AA64" s="30">
        <f t="shared" si="27"/>
        <v>157.75</v>
      </c>
      <c r="AB64" s="30">
        <f t="shared" si="33"/>
        <v>15.775</v>
      </c>
      <c r="AC64" s="30"/>
      <c r="AD64" s="30">
        <f>AD61</f>
        <v>42240</v>
      </c>
      <c r="AE64" s="30" t="e">
        <f>X64-AD64-#REF!</f>
        <v>#REF!</v>
      </c>
      <c r="AF64">
        <f t="shared" si="28"/>
        <v>327.9166666666667</v>
      </c>
    </row>
    <row r="65" spans="1:32" ht="12.75">
      <c r="A65" s="41">
        <f t="shared" si="29"/>
        <v>10</v>
      </c>
      <c r="B65" s="41" t="s">
        <v>77</v>
      </c>
      <c r="C65" s="41" t="s">
        <v>85</v>
      </c>
      <c r="D65" s="41"/>
      <c r="E65" s="41"/>
      <c r="F65" s="41"/>
      <c r="G65" s="41"/>
      <c r="H65" s="41"/>
      <c r="I65" s="41"/>
      <c r="J65" s="41"/>
      <c r="K65" s="70">
        <f aca="true" t="shared" si="39" ref="K65:V65">ROUNDUP(K15*0.1,0)</f>
        <v>316</v>
      </c>
      <c r="L65" s="70">
        <f t="shared" si="39"/>
        <v>316</v>
      </c>
      <c r="M65" s="70">
        <f t="shared" si="39"/>
        <v>316</v>
      </c>
      <c r="N65" s="70">
        <f t="shared" si="39"/>
        <v>316</v>
      </c>
      <c r="O65" s="70">
        <f t="shared" si="39"/>
        <v>664</v>
      </c>
      <c r="P65" s="70">
        <f t="shared" si="39"/>
        <v>0</v>
      </c>
      <c r="Q65" s="70">
        <f t="shared" si="39"/>
        <v>332</v>
      </c>
      <c r="R65" s="70">
        <f t="shared" si="39"/>
        <v>332</v>
      </c>
      <c r="S65" s="70">
        <f t="shared" si="39"/>
        <v>332</v>
      </c>
      <c r="T65" s="70">
        <f t="shared" si="39"/>
        <v>332</v>
      </c>
      <c r="U65" s="70">
        <f t="shared" si="39"/>
        <v>332</v>
      </c>
      <c r="V65" s="70">
        <f t="shared" si="39"/>
        <v>348</v>
      </c>
      <c r="W65" s="57">
        <f t="shared" si="26"/>
        <v>3936</v>
      </c>
      <c r="X65" s="48"/>
      <c r="Y65" s="49"/>
      <c r="Z65" s="50"/>
      <c r="AA65" s="30">
        <f t="shared" si="27"/>
        <v>79</v>
      </c>
      <c r="AB65" s="30">
        <f t="shared" si="33"/>
        <v>7.9</v>
      </c>
      <c r="AC65" s="30"/>
      <c r="AD65" s="30">
        <f>AD64</f>
        <v>42240</v>
      </c>
      <c r="AE65" s="30" t="e">
        <f>X65-AD65-#REF!</f>
        <v>#REF!</v>
      </c>
      <c r="AF65">
        <f t="shared" si="28"/>
        <v>328</v>
      </c>
    </row>
    <row r="66" spans="1:32" ht="12.75">
      <c r="A66" s="41">
        <f t="shared" si="29"/>
        <v>11</v>
      </c>
      <c r="B66" s="41" t="s">
        <v>75</v>
      </c>
      <c r="C66" s="41" t="s">
        <v>116</v>
      </c>
      <c r="D66" s="41"/>
      <c r="E66" s="41"/>
      <c r="F66" s="41"/>
      <c r="G66" s="41"/>
      <c r="H66" s="41"/>
      <c r="I66" s="41"/>
      <c r="J66" s="41"/>
      <c r="K66" s="70">
        <f aca="true" t="shared" si="40" ref="K66:V66">ROUNDUP(K16*0.3,0)</f>
        <v>1104</v>
      </c>
      <c r="L66" s="70">
        <f t="shared" si="40"/>
        <v>1104</v>
      </c>
      <c r="M66" s="70">
        <f t="shared" si="40"/>
        <v>1104</v>
      </c>
      <c r="N66" s="70">
        <f t="shared" si="40"/>
        <v>1104</v>
      </c>
      <c r="O66" s="70">
        <f t="shared" si="40"/>
        <v>1162</v>
      </c>
      <c r="P66" s="70">
        <f t="shared" si="40"/>
        <v>1162</v>
      </c>
      <c r="Q66" s="70">
        <f t="shared" si="40"/>
        <v>2323</v>
      </c>
      <c r="R66" s="70">
        <f t="shared" si="40"/>
        <v>0</v>
      </c>
      <c r="S66" s="70">
        <f t="shared" si="40"/>
        <v>1162</v>
      </c>
      <c r="T66" s="70">
        <f t="shared" si="40"/>
        <v>1162</v>
      </c>
      <c r="U66" s="70">
        <f t="shared" si="40"/>
        <v>1162</v>
      </c>
      <c r="V66" s="70">
        <f t="shared" si="40"/>
        <v>1216</v>
      </c>
      <c r="W66" s="57">
        <f t="shared" si="26"/>
        <v>13765</v>
      </c>
      <c r="X66" s="48"/>
      <c r="Y66" s="49"/>
      <c r="Z66" s="50"/>
      <c r="AA66" s="30">
        <f t="shared" si="27"/>
        <v>276</v>
      </c>
      <c r="AB66" s="30">
        <f>AA66*0.3</f>
        <v>82.8</v>
      </c>
      <c r="AC66" s="30"/>
      <c r="AD66" s="61">
        <v>57376.8</v>
      </c>
      <c r="AE66" s="30" t="e">
        <f>X66-AD66-#REF!</f>
        <v>#REF!</v>
      </c>
      <c r="AF66">
        <f t="shared" si="28"/>
        <v>1147.0833333333333</v>
      </c>
    </row>
    <row r="67" spans="1:32" ht="12.75">
      <c r="A67" s="41">
        <f t="shared" si="29"/>
        <v>12</v>
      </c>
      <c r="B67" s="41" t="s">
        <v>77</v>
      </c>
      <c r="C67" s="41" t="s">
        <v>117</v>
      </c>
      <c r="D67" s="41"/>
      <c r="E67" s="41"/>
      <c r="F67" s="41"/>
      <c r="G67" s="41"/>
      <c r="H67" s="41"/>
      <c r="I67" s="41"/>
      <c r="J67" s="41"/>
      <c r="K67" s="70">
        <f aca="true" t="shared" si="41" ref="K67:V67">ROUNDUP(K17*0.1,0)</f>
        <v>316</v>
      </c>
      <c r="L67" s="70">
        <f t="shared" si="41"/>
        <v>316</v>
      </c>
      <c r="M67" s="70">
        <f t="shared" si="41"/>
        <v>316</v>
      </c>
      <c r="N67" s="70">
        <f t="shared" si="41"/>
        <v>316</v>
      </c>
      <c r="O67" s="70">
        <f t="shared" si="41"/>
        <v>332</v>
      </c>
      <c r="P67" s="70">
        <f t="shared" si="41"/>
        <v>332</v>
      </c>
      <c r="Q67" s="70">
        <f t="shared" si="41"/>
        <v>332</v>
      </c>
      <c r="R67" s="70">
        <f t="shared" si="41"/>
        <v>332</v>
      </c>
      <c r="S67" s="70">
        <f t="shared" si="41"/>
        <v>664</v>
      </c>
      <c r="T67" s="70">
        <f t="shared" si="41"/>
        <v>0</v>
      </c>
      <c r="U67" s="70">
        <f t="shared" si="41"/>
        <v>332</v>
      </c>
      <c r="V67" s="70">
        <f t="shared" si="41"/>
        <v>348</v>
      </c>
      <c r="W67" s="57">
        <f t="shared" si="26"/>
        <v>3936</v>
      </c>
      <c r="X67" s="48"/>
      <c r="Y67" s="49"/>
      <c r="Z67" s="50"/>
      <c r="AA67" s="30">
        <f t="shared" si="27"/>
        <v>79</v>
      </c>
      <c r="AB67" s="30">
        <f>AA67*0.1</f>
        <v>7.9</v>
      </c>
      <c r="AC67" s="30"/>
      <c r="AD67" s="30">
        <f>AD65</f>
        <v>42240</v>
      </c>
      <c r="AE67" s="30" t="e">
        <f>X67-AD67-#REF!</f>
        <v>#REF!</v>
      </c>
      <c r="AF67">
        <f t="shared" si="28"/>
        <v>328</v>
      </c>
    </row>
    <row r="68" spans="1:32" ht="12.75">
      <c r="A68" s="41">
        <f t="shared" si="29"/>
        <v>13</v>
      </c>
      <c r="B68" s="41" t="s">
        <v>77</v>
      </c>
      <c r="C68" s="41" t="s">
        <v>118</v>
      </c>
      <c r="D68" s="41"/>
      <c r="E68" s="41"/>
      <c r="F68" s="41"/>
      <c r="G68" s="41"/>
      <c r="H68" s="41"/>
      <c r="I68" s="41"/>
      <c r="J68" s="41"/>
      <c r="K68" s="70">
        <f>ROUNDUP(K18*0.3,0)</f>
        <v>1104</v>
      </c>
      <c r="L68" s="70">
        <f aca="true" t="shared" si="42" ref="L68:V68">ROUNDUP(L18*0.1,0)</f>
        <v>316</v>
      </c>
      <c r="M68" s="70">
        <f t="shared" si="42"/>
        <v>631</v>
      </c>
      <c r="N68" s="70">
        <f t="shared" si="42"/>
        <v>0</v>
      </c>
      <c r="O68" s="70">
        <f t="shared" si="42"/>
        <v>332</v>
      </c>
      <c r="P68" s="70">
        <f t="shared" si="42"/>
        <v>332</v>
      </c>
      <c r="Q68" s="70">
        <f t="shared" si="42"/>
        <v>332</v>
      </c>
      <c r="R68" s="70">
        <f t="shared" si="42"/>
        <v>332</v>
      </c>
      <c r="S68" s="70">
        <f t="shared" si="42"/>
        <v>332</v>
      </c>
      <c r="T68" s="70">
        <f t="shared" si="42"/>
        <v>332</v>
      </c>
      <c r="U68" s="70">
        <f t="shared" si="42"/>
        <v>332</v>
      </c>
      <c r="V68" s="70">
        <f t="shared" si="42"/>
        <v>348</v>
      </c>
      <c r="W68" s="57">
        <f t="shared" si="26"/>
        <v>4723</v>
      </c>
      <c r="X68" s="48"/>
      <c r="Y68" s="49"/>
      <c r="Z68" s="50"/>
      <c r="AA68" s="30">
        <f t="shared" si="27"/>
        <v>276</v>
      </c>
      <c r="AB68" s="30">
        <f>AA68*0.1</f>
        <v>27.6</v>
      </c>
      <c r="AC68" s="30"/>
      <c r="AD68" s="30">
        <f>AD67</f>
        <v>42240</v>
      </c>
      <c r="AE68" s="30" t="e">
        <f>X68-AD68-#REF!</f>
        <v>#REF!</v>
      </c>
      <c r="AF68">
        <f t="shared" si="28"/>
        <v>393.5833333333333</v>
      </c>
    </row>
    <row r="69" spans="1:32" ht="12.75">
      <c r="A69" s="41">
        <f t="shared" si="29"/>
        <v>14</v>
      </c>
      <c r="B69" s="41" t="s">
        <v>77</v>
      </c>
      <c r="C69" s="41" t="s">
        <v>119</v>
      </c>
      <c r="D69" s="41"/>
      <c r="E69" s="41"/>
      <c r="F69" s="41"/>
      <c r="G69" s="41"/>
      <c r="H69" s="41"/>
      <c r="I69" s="41"/>
      <c r="J69" s="41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/>
      <c r="W69" s="57">
        <f t="shared" si="26"/>
        <v>0</v>
      </c>
      <c r="X69" s="48"/>
      <c r="Y69" s="49"/>
      <c r="Z69" s="50"/>
      <c r="AA69" s="30">
        <f t="shared" si="27"/>
        <v>0</v>
      </c>
      <c r="AB69" s="30">
        <f>AA69*0.1</f>
        <v>0</v>
      </c>
      <c r="AC69" s="30"/>
      <c r="AD69" s="30">
        <f>AD68</f>
        <v>42240</v>
      </c>
      <c r="AE69" s="30" t="e">
        <f>X69-AD69-#REF!</f>
        <v>#REF!</v>
      </c>
      <c r="AF69">
        <f t="shared" si="28"/>
        <v>0</v>
      </c>
    </row>
    <row r="70" spans="1:31" ht="12.75">
      <c r="A70" s="41">
        <f t="shared" si="29"/>
        <v>15</v>
      </c>
      <c r="B70" s="41" t="s">
        <v>77</v>
      </c>
      <c r="C70" s="41" t="s">
        <v>136</v>
      </c>
      <c r="D70" s="41"/>
      <c r="E70" s="41"/>
      <c r="F70" s="41"/>
      <c r="G70" s="41"/>
      <c r="H70" s="41"/>
      <c r="I70" s="41"/>
      <c r="J70" s="41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57">
        <f t="shared" si="26"/>
        <v>0</v>
      </c>
      <c r="X70" s="48"/>
      <c r="Y70" s="49"/>
      <c r="Z70" s="50"/>
      <c r="AA70" s="30"/>
      <c r="AB70" s="30"/>
      <c r="AC70" s="30"/>
      <c r="AD70" s="30"/>
      <c r="AE70" s="30"/>
    </row>
    <row r="71" spans="1:31" ht="12.75">
      <c r="A71" s="41">
        <f t="shared" si="29"/>
        <v>16</v>
      </c>
      <c r="B71" s="41" t="s">
        <v>77</v>
      </c>
      <c r="C71" s="41" t="s">
        <v>137</v>
      </c>
      <c r="D71" s="41"/>
      <c r="E71" s="41"/>
      <c r="F71" s="41"/>
      <c r="G71" s="41"/>
      <c r="H71" s="41"/>
      <c r="I71" s="41"/>
      <c r="J71" s="41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57">
        <f t="shared" si="26"/>
        <v>0</v>
      </c>
      <c r="X71" s="48"/>
      <c r="Y71" s="49"/>
      <c r="Z71" s="50"/>
      <c r="AA71" s="30"/>
      <c r="AB71" s="30"/>
      <c r="AC71" s="30"/>
      <c r="AD71" s="30"/>
      <c r="AE71" s="30"/>
    </row>
    <row r="72" spans="1:31" ht="12.75">
      <c r="A72" s="41">
        <v>17</v>
      </c>
      <c r="B72" s="41" t="s">
        <v>77</v>
      </c>
      <c r="C72" s="41" t="s">
        <v>142</v>
      </c>
      <c r="D72" s="41"/>
      <c r="E72" s="41"/>
      <c r="F72" s="41"/>
      <c r="G72" s="41"/>
      <c r="H72" s="41"/>
      <c r="I72" s="41"/>
      <c r="J72" s="41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4"/>
      <c r="W72" s="57">
        <f t="shared" si="26"/>
        <v>0</v>
      </c>
      <c r="X72" s="48"/>
      <c r="Y72" s="49"/>
      <c r="Z72" s="50"/>
      <c r="AA72" s="30"/>
      <c r="AB72" s="30"/>
      <c r="AC72" s="30"/>
      <c r="AD72" s="30"/>
      <c r="AE72" s="30"/>
    </row>
    <row r="73" spans="1:31" ht="12.75">
      <c r="A73" s="41">
        <f>A71+1</f>
        <v>17</v>
      </c>
      <c r="B73" s="41" t="s">
        <v>120</v>
      </c>
      <c r="C73" s="41" t="s">
        <v>138</v>
      </c>
      <c r="D73" s="41"/>
      <c r="E73" s="41"/>
      <c r="F73" s="41"/>
      <c r="G73" s="41"/>
      <c r="H73" s="41"/>
      <c r="I73" s="41"/>
      <c r="J73" s="41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7">
        <f t="shared" si="26"/>
        <v>0</v>
      </c>
      <c r="X73" s="48"/>
      <c r="Y73" s="49"/>
      <c r="Z73" s="50"/>
      <c r="AA73" s="30"/>
      <c r="AB73" s="30"/>
      <c r="AC73" s="30"/>
      <c r="AD73" s="30"/>
      <c r="AE73" s="30"/>
    </row>
    <row r="74" spans="1:32" ht="12.75">
      <c r="A74" s="41">
        <f>A73+1</f>
        <v>18</v>
      </c>
      <c r="B74" s="41" t="s">
        <v>120</v>
      </c>
      <c r="C74" s="41" t="s">
        <v>121</v>
      </c>
      <c r="D74" s="41"/>
      <c r="E74" s="41"/>
      <c r="F74" s="41"/>
      <c r="G74" s="41"/>
      <c r="H74" s="41"/>
      <c r="I74" s="41"/>
      <c r="J74" s="41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7">
        <f t="shared" si="26"/>
        <v>0</v>
      </c>
      <c r="X74" s="48"/>
      <c r="Y74" s="49"/>
      <c r="Z74" s="50"/>
      <c r="AA74" s="30">
        <f>K74/4</f>
        <v>0</v>
      </c>
      <c r="AB74" s="30">
        <f>AA74*0.1</f>
        <v>0</v>
      </c>
      <c r="AC74" s="30"/>
      <c r="AD74">
        <v>48000</v>
      </c>
      <c r="AE74" s="30" t="e">
        <f>X74-AD74-#REF!</f>
        <v>#REF!</v>
      </c>
      <c r="AF74">
        <f>W74/12</f>
        <v>0</v>
      </c>
    </row>
    <row r="75" spans="2:32" s="55" customFormat="1" ht="12.75">
      <c r="B75" s="52" t="s">
        <v>70</v>
      </c>
      <c r="C75" s="52"/>
      <c r="D75" s="52"/>
      <c r="E75" s="52"/>
      <c r="F75" s="53"/>
      <c r="G75" s="53"/>
      <c r="H75" s="53"/>
      <c r="I75" s="53"/>
      <c r="J75" s="53"/>
      <c r="K75" s="54">
        <f aca="true" t="shared" si="43" ref="K75:U75">ROUND(SUM(K56:K65)/10,0)*10</f>
        <v>4850</v>
      </c>
      <c r="L75" s="54">
        <f t="shared" si="43"/>
        <v>7100</v>
      </c>
      <c r="M75" s="54">
        <f t="shared" si="43"/>
        <v>6190</v>
      </c>
      <c r="N75" s="54">
        <f t="shared" si="43"/>
        <v>7850</v>
      </c>
      <c r="O75" s="54">
        <f t="shared" si="43"/>
        <v>6680</v>
      </c>
      <c r="P75" s="54">
        <f t="shared" si="43"/>
        <v>5980</v>
      </c>
      <c r="Q75" s="54">
        <f t="shared" si="43"/>
        <v>6720</v>
      </c>
      <c r="R75" s="54">
        <f t="shared" si="43"/>
        <v>8860</v>
      </c>
      <c r="S75" s="54">
        <f t="shared" si="43"/>
        <v>4910</v>
      </c>
      <c r="T75" s="54">
        <f t="shared" si="43"/>
        <v>6720</v>
      </c>
      <c r="U75" s="54">
        <f t="shared" si="43"/>
        <v>6720</v>
      </c>
      <c r="V75" s="54">
        <f>ROUNDDOWN(SUM(V56:V65)/10,0)*10</f>
        <v>6560</v>
      </c>
      <c r="W75" s="54">
        <f aca="true" t="shared" si="44" ref="W75:AB75">SUM(W56:W74)</f>
        <v>101557</v>
      </c>
      <c r="X75" s="54">
        <f t="shared" si="44"/>
        <v>0</v>
      </c>
      <c r="Y75" s="54">
        <f t="shared" si="44"/>
        <v>0</v>
      </c>
      <c r="Z75" s="54">
        <f t="shared" si="44"/>
        <v>0</v>
      </c>
      <c r="AA75" s="30">
        <f t="shared" si="44"/>
        <v>1844.25</v>
      </c>
      <c r="AB75" s="30">
        <f t="shared" si="44"/>
        <v>291.925</v>
      </c>
      <c r="AC75" s="30"/>
      <c r="AD75" s="59">
        <f>SUM(AD56:AD74)</f>
        <v>709444.8</v>
      </c>
      <c r="AE75" s="59" t="e">
        <f>SUM(AE56:AE74)</f>
        <v>#REF!</v>
      </c>
      <c r="AF75" s="55">
        <v>41520</v>
      </c>
    </row>
    <row r="76" spans="1:21" ht="12.75">
      <c r="A76">
        <v>1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2:22" ht="15.75">
      <c r="B77" s="62" t="s">
        <v>141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6" s="39" customFormat="1" ht="12" customHeight="1">
      <c r="A78" s="106" t="s">
        <v>62</v>
      </c>
      <c r="B78" s="106" t="s">
        <v>63</v>
      </c>
      <c r="C78" s="110" t="s">
        <v>64</v>
      </c>
      <c r="D78" s="110" t="s">
        <v>65</v>
      </c>
      <c r="E78" s="106" t="s">
        <v>66</v>
      </c>
      <c r="F78" s="112" t="s">
        <v>67</v>
      </c>
      <c r="G78" s="107" t="s">
        <v>111</v>
      </c>
      <c r="H78" s="108"/>
      <c r="I78" s="109"/>
      <c r="J78" s="106" t="s">
        <v>68</v>
      </c>
      <c r="K78" s="102" t="s">
        <v>124</v>
      </c>
      <c r="L78" s="102" t="s">
        <v>125</v>
      </c>
      <c r="M78" s="102" t="s">
        <v>126</v>
      </c>
      <c r="N78" s="102" t="s">
        <v>127</v>
      </c>
      <c r="O78" s="102" t="s">
        <v>128</v>
      </c>
      <c r="P78" s="102" t="s">
        <v>129</v>
      </c>
      <c r="Q78" s="102" t="s">
        <v>130</v>
      </c>
      <c r="R78" s="102" t="s">
        <v>131</v>
      </c>
      <c r="S78" s="102" t="s">
        <v>132</v>
      </c>
      <c r="T78" s="102" t="s">
        <v>133</v>
      </c>
      <c r="U78" s="102" t="s">
        <v>134</v>
      </c>
      <c r="V78" s="102" t="s">
        <v>69</v>
      </c>
      <c r="W78" s="104" t="s">
        <v>70</v>
      </c>
      <c r="X78" s="105">
        <v>1110</v>
      </c>
      <c r="Y78" s="105">
        <v>1120</v>
      </c>
      <c r="Z78" s="101" t="s">
        <v>71</v>
      </c>
    </row>
    <row r="79" spans="1:26" s="39" customFormat="1" ht="29.25" customHeight="1">
      <c r="A79" s="106"/>
      <c r="B79" s="106"/>
      <c r="C79" s="111"/>
      <c r="D79" s="111"/>
      <c r="E79" s="106"/>
      <c r="F79" s="113"/>
      <c r="G79" s="40" t="s">
        <v>112</v>
      </c>
      <c r="H79" s="40" t="s">
        <v>113</v>
      </c>
      <c r="I79" s="40" t="s">
        <v>114</v>
      </c>
      <c r="J79" s="106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5"/>
      <c r="Y79" s="105"/>
      <c r="Z79" s="101"/>
    </row>
    <row r="80" spans="1:26" ht="12.75">
      <c r="A80" s="41"/>
      <c r="B80" s="42">
        <v>120300</v>
      </c>
      <c r="C80" s="42"/>
      <c r="D80" s="41"/>
      <c r="E80" s="41"/>
      <c r="F80" s="41"/>
      <c r="G80" s="41"/>
      <c r="H80" s="41"/>
      <c r="I80" s="41"/>
      <c r="J80" s="41"/>
      <c r="K80" s="47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3"/>
      <c r="X80" s="45"/>
      <c r="Y80" s="45"/>
      <c r="Z80" s="46"/>
    </row>
    <row r="81" spans="1:32" ht="12.75">
      <c r="A81" s="41">
        <v>1</v>
      </c>
      <c r="B81" s="41" t="s">
        <v>37</v>
      </c>
      <c r="C81" s="41"/>
      <c r="D81" s="41"/>
      <c r="E81" s="41"/>
      <c r="F81" s="41"/>
      <c r="G81" s="41"/>
      <c r="H81" s="41"/>
      <c r="I81" s="41"/>
      <c r="J81" s="41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57">
        <f aca="true" t="shared" si="45" ref="W81:W99">SUM(K81:V81)</f>
        <v>0</v>
      </c>
      <c r="X81" s="48"/>
      <c r="Y81" s="49"/>
      <c r="Z81" s="50"/>
      <c r="AA81" s="30">
        <f aca="true" t="shared" si="46" ref="AA81:AA94">K81/4</f>
        <v>0</v>
      </c>
      <c r="AB81" s="30">
        <f>AA81*0.3</f>
        <v>0</v>
      </c>
      <c r="AC81" s="30"/>
      <c r="AD81" s="60">
        <f>'[2]01.01.17(з мінім)'!$M$26</f>
        <v>60403.200000000004</v>
      </c>
      <c r="AE81" s="30" t="e">
        <f>X81-AD81-#REF!</f>
        <v>#REF!</v>
      </c>
      <c r="AF81">
        <f aca="true" t="shared" si="47" ref="AF81:AF94">W81/12</f>
        <v>0</v>
      </c>
    </row>
    <row r="82" spans="1:32" ht="12.75">
      <c r="A82" s="41">
        <f aca="true" t="shared" si="48" ref="A82:A96">A81+1</f>
        <v>2</v>
      </c>
      <c r="B82" s="51" t="s">
        <v>72</v>
      </c>
      <c r="C82" s="51" t="s">
        <v>73</v>
      </c>
      <c r="D82" s="41"/>
      <c r="E82" s="41"/>
      <c r="F82" s="41"/>
      <c r="G82" s="41"/>
      <c r="H82" s="41"/>
      <c r="I82" s="41"/>
      <c r="J82" s="41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57">
        <f t="shared" si="45"/>
        <v>0</v>
      </c>
      <c r="X82" s="48"/>
      <c r="Y82" s="49"/>
      <c r="Z82" s="50"/>
      <c r="AA82" s="30">
        <f t="shared" si="46"/>
        <v>0</v>
      </c>
      <c r="AB82" s="30">
        <f>AA82*0.3</f>
        <v>0</v>
      </c>
      <c r="AC82" s="30"/>
      <c r="AD82" s="60">
        <f>'[2]01.01.17(з мінім)'!$M$27</f>
        <v>54366</v>
      </c>
      <c r="AE82" s="30" t="e">
        <f>X82-AD82-#REF!</f>
        <v>#REF!</v>
      </c>
      <c r="AF82">
        <f t="shared" si="47"/>
        <v>0</v>
      </c>
    </row>
    <row r="83" spans="1:32" ht="12.75">
      <c r="A83" s="41">
        <f t="shared" si="48"/>
        <v>3</v>
      </c>
      <c r="B83" s="41" t="s">
        <v>75</v>
      </c>
      <c r="C83" s="41" t="s">
        <v>76</v>
      </c>
      <c r="D83" s="41"/>
      <c r="E83" s="41"/>
      <c r="F83" s="41"/>
      <c r="G83" s="41"/>
      <c r="H83" s="41"/>
      <c r="I83" s="41"/>
      <c r="J83" s="41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57">
        <f t="shared" si="45"/>
        <v>0</v>
      </c>
      <c r="X83" s="48"/>
      <c r="Y83" s="49"/>
      <c r="Z83" s="50"/>
      <c r="AA83" s="30">
        <f t="shared" si="46"/>
        <v>0</v>
      </c>
      <c r="AB83" s="30">
        <f>AA83*0.3</f>
        <v>0</v>
      </c>
      <c r="AC83" s="30"/>
      <c r="AD83" s="61">
        <v>57376.8</v>
      </c>
      <c r="AE83" s="30" t="e">
        <f>X83-AD83-#REF!</f>
        <v>#REF!</v>
      </c>
      <c r="AF83">
        <f t="shared" si="47"/>
        <v>0</v>
      </c>
    </row>
    <row r="84" spans="1:32" ht="12.75">
      <c r="A84" s="41">
        <f t="shared" si="48"/>
        <v>4</v>
      </c>
      <c r="B84" s="41" t="s">
        <v>77</v>
      </c>
      <c r="C84" s="41" t="s">
        <v>78</v>
      </c>
      <c r="D84" s="41"/>
      <c r="E84" s="41"/>
      <c r="F84" s="41"/>
      <c r="G84" s="41"/>
      <c r="H84" s="41"/>
      <c r="I84" s="41"/>
      <c r="J84" s="41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57">
        <f t="shared" si="45"/>
        <v>0</v>
      </c>
      <c r="X84" s="48"/>
      <c r="Y84" s="49"/>
      <c r="Z84" s="50"/>
      <c r="AA84" s="30">
        <f t="shared" si="46"/>
        <v>0</v>
      </c>
      <c r="AB84" s="30">
        <f aca="true" t="shared" si="49" ref="AB84:AB90">AA84*0.1</f>
        <v>0</v>
      </c>
      <c r="AC84" s="30"/>
      <c r="AD84" s="30">
        <f>'[2]01.01.17(з мінім)'!$M$30</f>
        <v>42240</v>
      </c>
      <c r="AE84" s="30" t="e">
        <f>X84-AD84-#REF!</f>
        <v>#REF!</v>
      </c>
      <c r="AF84">
        <f t="shared" si="47"/>
        <v>0</v>
      </c>
    </row>
    <row r="85" spans="1:32" ht="12.75">
      <c r="A85" s="41">
        <f t="shared" si="48"/>
        <v>5</v>
      </c>
      <c r="B85" s="41" t="s">
        <v>77</v>
      </c>
      <c r="C85" s="41" t="s">
        <v>79</v>
      </c>
      <c r="D85" s="41"/>
      <c r="E85" s="41"/>
      <c r="F85" s="41"/>
      <c r="G85" s="41"/>
      <c r="H85" s="41"/>
      <c r="I85" s="41"/>
      <c r="J85" s="41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57">
        <f t="shared" si="45"/>
        <v>0</v>
      </c>
      <c r="X85" s="48"/>
      <c r="Y85" s="49"/>
      <c r="Z85" s="50"/>
      <c r="AA85" s="30">
        <f t="shared" si="46"/>
        <v>0</v>
      </c>
      <c r="AB85" s="30">
        <f t="shared" si="49"/>
        <v>0</v>
      </c>
      <c r="AC85" s="30"/>
      <c r="AD85" s="30">
        <f>AD84</f>
        <v>42240</v>
      </c>
      <c r="AE85" s="30" t="e">
        <f>X85-AD85-#REF!</f>
        <v>#REF!</v>
      </c>
      <c r="AF85">
        <f t="shared" si="47"/>
        <v>0</v>
      </c>
    </row>
    <row r="86" spans="1:32" ht="12.75">
      <c r="A86" s="41">
        <f t="shared" si="48"/>
        <v>6</v>
      </c>
      <c r="B86" s="41" t="s">
        <v>80</v>
      </c>
      <c r="C86" s="41" t="s">
        <v>81</v>
      </c>
      <c r="D86" s="41"/>
      <c r="E86" s="41"/>
      <c r="F86" s="41"/>
      <c r="G86" s="41"/>
      <c r="H86" s="41"/>
      <c r="I86" s="41"/>
      <c r="J86" s="41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57">
        <f t="shared" si="45"/>
        <v>0</v>
      </c>
      <c r="X86" s="48"/>
      <c r="Y86" s="49"/>
      <c r="Z86" s="50"/>
      <c r="AA86" s="30">
        <f t="shared" si="46"/>
        <v>0</v>
      </c>
      <c r="AB86" s="30">
        <f t="shared" si="49"/>
        <v>0</v>
      </c>
      <c r="AC86" s="30"/>
      <c r="AD86" s="30">
        <f>AD85</f>
        <v>42240</v>
      </c>
      <c r="AE86" s="30" t="e">
        <f>X86-AD86-#REF!</f>
        <v>#REF!</v>
      </c>
      <c r="AF86">
        <f t="shared" si="47"/>
        <v>0</v>
      </c>
    </row>
    <row r="87" spans="1:32" ht="12.75">
      <c r="A87" s="41">
        <f t="shared" si="48"/>
        <v>7</v>
      </c>
      <c r="B87" s="41" t="s">
        <v>80</v>
      </c>
      <c r="C87" s="41" t="s">
        <v>82</v>
      </c>
      <c r="D87" s="41"/>
      <c r="E87" s="41"/>
      <c r="F87" s="41"/>
      <c r="G87" s="41"/>
      <c r="H87" s="41"/>
      <c r="I87" s="41"/>
      <c r="J87" s="41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57">
        <f t="shared" si="45"/>
        <v>0</v>
      </c>
      <c r="X87" s="48"/>
      <c r="Y87" s="49"/>
      <c r="Z87" s="50"/>
      <c r="AA87" s="30">
        <f t="shared" si="46"/>
        <v>0</v>
      </c>
      <c r="AB87" s="30">
        <f t="shared" si="49"/>
        <v>0</v>
      </c>
      <c r="AC87" s="30"/>
      <c r="AD87">
        <v>48000</v>
      </c>
      <c r="AE87" s="30" t="e">
        <f>X87-AD87-#REF!</f>
        <v>#REF!</v>
      </c>
      <c r="AF87">
        <f t="shared" si="47"/>
        <v>0</v>
      </c>
    </row>
    <row r="88" spans="1:32" ht="12.75">
      <c r="A88" s="41">
        <f t="shared" si="48"/>
        <v>8</v>
      </c>
      <c r="B88" s="41" t="s">
        <v>83</v>
      </c>
      <c r="C88" s="41" t="s">
        <v>143</v>
      </c>
      <c r="D88" s="41"/>
      <c r="E88" s="41"/>
      <c r="F88" s="41"/>
      <c r="G88" s="41"/>
      <c r="H88" s="41"/>
      <c r="I88" s="41"/>
      <c r="J88" s="41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57">
        <f t="shared" si="45"/>
        <v>0</v>
      </c>
      <c r="X88" s="48"/>
      <c r="Y88" s="49"/>
      <c r="Z88" s="50"/>
      <c r="AA88" s="30">
        <f t="shared" si="46"/>
        <v>0</v>
      </c>
      <c r="AB88" s="30">
        <f t="shared" si="49"/>
        <v>0</v>
      </c>
      <c r="AC88" s="30"/>
      <c r="AD88">
        <v>46002</v>
      </c>
      <c r="AE88" s="30" t="e">
        <f>X88-AD88-#REF!</f>
        <v>#REF!</v>
      </c>
      <c r="AF88">
        <f t="shared" si="47"/>
        <v>0</v>
      </c>
    </row>
    <row r="89" spans="1:32" ht="12.75">
      <c r="A89" s="41">
        <f t="shared" si="48"/>
        <v>9</v>
      </c>
      <c r="B89" s="41" t="s">
        <v>77</v>
      </c>
      <c r="C89" s="41" t="s">
        <v>84</v>
      </c>
      <c r="D89" s="41"/>
      <c r="E89" s="41"/>
      <c r="F89" s="41"/>
      <c r="G89" s="41"/>
      <c r="H89" s="41"/>
      <c r="I89" s="41"/>
      <c r="J89" s="41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57">
        <f t="shared" si="45"/>
        <v>0</v>
      </c>
      <c r="X89" s="48"/>
      <c r="Y89" s="49"/>
      <c r="Z89" s="50"/>
      <c r="AA89" s="30">
        <f t="shared" si="46"/>
        <v>0</v>
      </c>
      <c r="AB89" s="30">
        <f t="shared" si="49"/>
        <v>0</v>
      </c>
      <c r="AC89" s="30"/>
      <c r="AD89" s="30">
        <f>AD86</f>
        <v>42240</v>
      </c>
      <c r="AE89" s="30" t="e">
        <f>X89-AD89-#REF!</f>
        <v>#REF!</v>
      </c>
      <c r="AF89">
        <f t="shared" si="47"/>
        <v>0</v>
      </c>
    </row>
    <row r="90" spans="1:32" ht="12.75">
      <c r="A90" s="41">
        <f t="shared" si="48"/>
        <v>10</v>
      </c>
      <c r="B90" s="41" t="s">
        <v>77</v>
      </c>
      <c r="C90" s="41" t="s">
        <v>85</v>
      </c>
      <c r="D90" s="41"/>
      <c r="E90" s="41"/>
      <c r="F90" s="41"/>
      <c r="G90" s="41"/>
      <c r="H90" s="41"/>
      <c r="I90" s="41"/>
      <c r="J90" s="41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57">
        <f t="shared" si="45"/>
        <v>0</v>
      </c>
      <c r="X90" s="48"/>
      <c r="Y90" s="49"/>
      <c r="Z90" s="50"/>
      <c r="AA90" s="30">
        <f t="shared" si="46"/>
        <v>0</v>
      </c>
      <c r="AB90" s="30">
        <f t="shared" si="49"/>
        <v>0</v>
      </c>
      <c r="AC90" s="30"/>
      <c r="AD90" s="30">
        <f>AD89</f>
        <v>42240</v>
      </c>
      <c r="AE90" s="30" t="e">
        <f>X90-AD90-#REF!</f>
        <v>#REF!</v>
      </c>
      <c r="AF90">
        <f t="shared" si="47"/>
        <v>0</v>
      </c>
    </row>
    <row r="91" spans="1:32" ht="12.75">
      <c r="A91" s="41">
        <f t="shared" si="48"/>
        <v>11</v>
      </c>
      <c r="B91" s="41" t="s">
        <v>75</v>
      </c>
      <c r="C91" s="41" t="s">
        <v>116</v>
      </c>
      <c r="D91" s="41"/>
      <c r="E91" s="41"/>
      <c r="F91" s="41"/>
      <c r="G91" s="41"/>
      <c r="H91" s="41"/>
      <c r="I91" s="41"/>
      <c r="J91" s="41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7">
        <f t="shared" si="45"/>
        <v>0</v>
      </c>
      <c r="X91" s="48"/>
      <c r="Y91" s="49"/>
      <c r="Z91" s="50"/>
      <c r="AA91" s="30">
        <f t="shared" si="46"/>
        <v>0</v>
      </c>
      <c r="AB91" s="30">
        <f>AA91*0.3</f>
        <v>0</v>
      </c>
      <c r="AC91" s="30"/>
      <c r="AD91" s="61">
        <v>57376.8</v>
      </c>
      <c r="AE91" s="30" t="e">
        <f>X91-AD91-#REF!</f>
        <v>#REF!</v>
      </c>
      <c r="AF91">
        <f t="shared" si="47"/>
        <v>0</v>
      </c>
    </row>
    <row r="92" spans="1:32" ht="12.75">
      <c r="A92" s="41">
        <f t="shared" si="48"/>
        <v>12</v>
      </c>
      <c r="B92" s="41" t="s">
        <v>77</v>
      </c>
      <c r="C92" s="41" t="s">
        <v>117</v>
      </c>
      <c r="D92" s="41"/>
      <c r="E92" s="41"/>
      <c r="F92" s="41"/>
      <c r="G92" s="41"/>
      <c r="H92" s="41"/>
      <c r="I92" s="41"/>
      <c r="J92" s="41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7">
        <f t="shared" si="45"/>
        <v>0</v>
      </c>
      <c r="X92" s="48"/>
      <c r="Y92" s="49"/>
      <c r="Z92" s="50"/>
      <c r="AA92" s="30">
        <f t="shared" si="46"/>
        <v>0</v>
      </c>
      <c r="AB92" s="30">
        <f>AA92*0.1</f>
        <v>0</v>
      </c>
      <c r="AC92" s="30"/>
      <c r="AD92" s="30">
        <f>AD90</f>
        <v>42240</v>
      </c>
      <c r="AE92" s="30" t="e">
        <f>X92-AD92-#REF!</f>
        <v>#REF!</v>
      </c>
      <c r="AF92">
        <f t="shared" si="47"/>
        <v>0</v>
      </c>
    </row>
    <row r="93" spans="1:32" ht="12.75">
      <c r="A93" s="41">
        <f t="shared" si="48"/>
        <v>13</v>
      </c>
      <c r="B93" s="41" t="s">
        <v>77</v>
      </c>
      <c r="C93" s="41" t="s">
        <v>118</v>
      </c>
      <c r="D93" s="41"/>
      <c r="E93" s="41"/>
      <c r="F93" s="41"/>
      <c r="G93" s="41"/>
      <c r="H93" s="41"/>
      <c r="I93" s="41"/>
      <c r="J93" s="41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57">
        <f t="shared" si="45"/>
        <v>0</v>
      </c>
      <c r="X93" s="48"/>
      <c r="Y93" s="49"/>
      <c r="Z93" s="50"/>
      <c r="AA93" s="30">
        <f t="shared" si="46"/>
        <v>0</v>
      </c>
      <c r="AB93" s="30">
        <f>AA93*0.1</f>
        <v>0</v>
      </c>
      <c r="AC93" s="30"/>
      <c r="AD93" s="30">
        <f>AD92</f>
        <v>42240</v>
      </c>
      <c r="AE93" s="30" t="e">
        <f>X93-AD93-#REF!</f>
        <v>#REF!</v>
      </c>
      <c r="AF93">
        <f t="shared" si="47"/>
        <v>0</v>
      </c>
    </row>
    <row r="94" spans="1:32" ht="12.75">
      <c r="A94" s="41">
        <f t="shared" si="48"/>
        <v>14</v>
      </c>
      <c r="B94" s="41" t="s">
        <v>77</v>
      </c>
      <c r="C94" s="41" t="s">
        <v>119</v>
      </c>
      <c r="D94" s="41"/>
      <c r="E94" s="41"/>
      <c r="F94" s="41"/>
      <c r="G94" s="41"/>
      <c r="H94" s="41"/>
      <c r="I94" s="41"/>
      <c r="J94" s="41"/>
      <c r="K94" s="47">
        <f>1600-(K19+K44)</f>
        <v>24</v>
      </c>
      <c r="L94" s="47">
        <f>1600-(L19+L44)</f>
        <v>24</v>
      </c>
      <c r="M94" s="47">
        <f>1600-(M19+M44)</f>
        <v>24</v>
      </c>
      <c r="N94" s="47">
        <f>1600-(N19+N44)</f>
        <v>24</v>
      </c>
      <c r="O94" s="47"/>
      <c r="P94" s="47"/>
      <c r="Q94" s="47"/>
      <c r="R94" s="47"/>
      <c r="S94" s="47"/>
      <c r="T94" s="47"/>
      <c r="U94" s="47"/>
      <c r="V94" s="47"/>
      <c r="W94" s="57">
        <f t="shared" si="45"/>
        <v>96</v>
      </c>
      <c r="X94" s="48"/>
      <c r="Y94" s="49"/>
      <c r="Z94" s="50"/>
      <c r="AA94" s="30">
        <f t="shared" si="46"/>
        <v>6</v>
      </c>
      <c r="AB94" s="30">
        <f>AA94*0.1</f>
        <v>0.6000000000000001</v>
      </c>
      <c r="AC94" s="30"/>
      <c r="AD94" s="30">
        <f>AD93</f>
        <v>42240</v>
      </c>
      <c r="AE94" s="30" t="e">
        <f>X94-AD94-#REF!</f>
        <v>#REF!</v>
      </c>
      <c r="AF94">
        <f t="shared" si="47"/>
        <v>8</v>
      </c>
    </row>
    <row r="95" spans="1:31" ht="12.75">
      <c r="A95" s="41">
        <f t="shared" si="48"/>
        <v>15</v>
      </c>
      <c r="B95" s="41" t="s">
        <v>77</v>
      </c>
      <c r="C95" s="41" t="s">
        <v>136</v>
      </c>
      <c r="D95" s="41"/>
      <c r="E95" s="41"/>
      <c r="F95" s="41"/>
      <c r="G95" s="41"/>
      <c r="H95" s="41"/>
      <c r="I95" s="41"/>
      <c r="J95" s="41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57">
        <f t="shared" si="45"/>
        <v>0</v>
      </c>
      <c r="X95" s="48"/>
      <c r="Y95" s="49"/>
      <c r="Z95" s="50"/>
      <c r="AA95" s="30"/>
      <c r="AB95" s="30"/>
      <c r="AC95" s="30"/>
      <c r="AD95" s="30"/>
      <c r="AE95" s="30"/>
    </row>
    <row r="96" spans="1:31" ht="12.75">
      <c r="A96" s="41">
        <f t="shared" si="48"/>
        <v>16</v>
      </c>
      <c r="B96" s="41" t="s">
        <v>77</v>
      </c>
      <c r="C96" s="41" t="s">
        <v>137</v>
      </c>
      <c r="D96" s="41"/>
      <c r="E96" s="41"/>
      <c r="F96" s="41"/>
      <c r="G96" s="41"/>
      <c r="H96" s="41"/>
      <c r="I96" s="41"/>
      <c r="J96" s="41"/>
      <c r="K96" s="47">
        <f>1600-(K21+K46)</f>
        <v>24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7">
        <f t="shared" si="45"/>
        <v>24</v>
      </c>
      <c r="X96" s="48"/>
      <c r="Y96" s="49"/>
      <c r="Z96" s="50"/>
      <c r="AA96" s="30"/>
      <c r="AB96" s="30"/>
      <c r="AC96" s="30"/>
      <c r="AD96" s="30"/>
      <c r="AE96" s="30"/>
    </row>
    <row r="97" spans="1:31" ht="12.75">
      <c r="A97" s="41">
        <v>17</v>
      </c>
      <c r="B97" s="41" t="s">
        <v>77</v>
      </c>
      <c r="C97" s="41" t="s">
        <v>142</v>
      </c>
      <c r="D97" s="41"/>
      <c r="E97" s="41"/>
      <c r="F97" s="41"/>
      <c r="G97" s="41"/>
      <c r="H97" s="41"/>
      <c r="I97" s="41"/>
      <c r="J97" s="41"/>
      <c r="K97" s="47">
        <f>1600-(K22+K47)</f>
        <v>24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4"/>
      <c r="W97" s="57">
        <f t="shared" si="45"/>
        <v>24</v>
      </c>
      <c r="X97" s="48"/>
      <c r="Y97" s="49"/>
      <c r="Z97" s="50"/>
      <c r="AA97" s="30"/>
      <c r="AB97" s="30"/>
      <c r="AC97" s="30"/>
      <c r="AD97" s="30"/>
      <c r="AE97" s="30"/>
    </row>
    <row r="98" spans="1:31" ht="12.75">
      <c r="A98" s="41">
        <f>A96+1</f>
        <v>17</v>
      </c>
      <c r="B98" s="41" t="s">
        <v>120</v>
      </c>
      <c r="C98" s="41" t="s">
        <v>138</v>
      </c>
      <c r="D98" s="41"/>
      <c r="E98" s="41"/>
      <c r="F98" s="41"/>
      <c r="G98" s="41"/>
      <c r="H98" s="41"/>
      <c r="I98" s="41"/>
      <c r="J98" s="41"/>
      <c r="K98" s="47">
        <f>1600-(K23+K48)</f>
        <v>8</v>
      </c>
      <c r="L98" s="47">
        <f aca="true" t="shared" si="50" ref="L98:N99">1600-(L23+L48)</f>
        <v>8</v>
      </c>
      <c r="M98" s="47">
        <f t="shared" si="50"/>
        <v>8</v>
      </c>
      <c r="N98" s="47">
        <f t="shared" si="50"/>
        <v>8</v>
      </c>
      <c r="O98" s="47"/>
      <c r="P98" s="47"/>
      <c r="Q98" s="47"/>
      <c r="R98" s="47"/>
      <c r="S98" s="47"/>
      <c r="T98" s="47"/>
      <c r="U98" s="47"/>
      <c r="V98" s="47"/>
      <c r="W98" s="57">
        <f t="shared" si="45"/>
        <v>32</v>
      </c>
      <c r="X98" s="48"/>
      <c r="Y98" s="49"/>
      <c r="Z98" s="50"/>
      <c r="AA98" s="30"/>
      <c r="AB98" s="30"/>
      <c r="AC98" s="30"/>
      <c r="AD98" s="30"/>
      <c r="AE98" s="30"/>
    </row>
    <row r="99" spans="1:32" ht="12.75">
      <c r="A99" s="41">
        <f>A98+1</f>
        <v>18</v>
      </c>
      <c r="B99" s="41" t="s">
        <v>120</v>
      </c>
      <c r="C99" s="41" t="s">
        <v>121</v>
      </c>
      <c r="D99" s="41"/>
      <c r="E99" s="41"/>
      <c r="F99" s="41"/>
      <c r="G99" s="41"/>
      <c r="H99" s="41"/>
      <c r="I99" s="41"/>
      <c r="J99" s="41"/>
      <c r="K99" s="47">
        <f>1600-(K24+K49)</f>
        <v>8</v>
      </c>
      <c r="L99" s="47">
        <f t="shared" si="50"/>
        <v>8</v>
      </c>
      <c r="M99" s="47">
        <f t="shared" si="50"/>
        <v>8</v>
      </c>
      <c r="N99" s="47">
        <f t="shared" si="50"/>
        <v>8</v>
      </c>
      <c r="O99" s="47"/>
      <c r="P99" s="47"/>
      <c r="Q99" s="47"/>
      <c r="R99" s="47"/>
      <c r="S99" s="47"/>
      <c r="T99" s="47"/>
      <c r="U99" s="47"/>
      <c r="V99" s="47"/>
      <c r="W99" s="57">
        <f t="shared" si="45"/>
        <v>32</v>
      </c>
      <c r="X99" s="48"/>
      <c r="Y99" s="49"/>
      <c r="Z99" s="50"/>
      <c r="AA99" s="30">
        <f>K99/4</f>
        <v>2</v>
      </c>
      <c r="AB99" s="30">
        <f>AA99*0.1</f>
        <v>0.2</v>
      </c>
      <c r="AC99" s="30"/>
      <c r="AD99">
        <v>48000</v>
      </c>
      <c r="AE99" s="30" t="e">
        <f>X99-AD99-#REF!</f>
        <v>#REF!</v>
      </c>
      <c r="AF99">
        <f>W99/12</f>
        <v>2.6666666666666665</v>
      </c>
    </row>
    <row r="100" spans="2:32" s="55" customFormat="1" ht="12.75">
      <c r="B100" s="52" t="s">
        <v>70</v>
      </c>
      <c r="C100" s="52"/>
      <c r="D100" s="52"/>
      <c r="E100" s="52"/>
      <c r="F100" s="53"/>
      <c r="G100" s="53"/>
      <c r="H100" s="53"/>
      <c r="I100" s="53"/>
      <c r="J100" s="53"/>
      <c r="K100" s="54">
        <f aca="true" t="shared" si="51" ref="K100:U100">ROUND(SUM(K81:K90)/10,0)*10</f>
        <v>0</v>
      </c>
      <c r="L100" s="54">
        <f t="shared" si="51"/>
        <v>0</v>
      </c>
      <c r="M100" s="54">
        <f t="shared" si="51"/>
        <v>0</v>
      </c>
      <c r="N100" s="54">
        <f t="shared" si="51"/>
        <v>0</v>
      </c>
      <c r="O100" s="54">
        <f t="shared" si="51"/>
        <v>0</v>
      </c>
      <c r="P100" s="54">
        <f t="shared" si="51"/>
        <v>0</v>
      </c>
      <c r="Q100" s="54">
        <f t="shared" si="51"/>
        <v>0</v>
      </c>
      <c r="R100" s="54">
        <f t="shared" si="51"/>
        <v>0</v>
      </c>
      <c r="S100" s="54">
        <f t="shared" si="51"/>
        <v>0</v>
      </c>
      <c r="T100" s="54">
        <f t="shared" si="51"/>
        <v>0</v>
      </c>
      <c r="U100" s="54">
        <f t="shared" si="51"/>
        <v>0</v>
      </c>
      <c r="V100" s="54">
        <f>ROUNDDOWN(SUM(V81:V90)/10,0)*10</f>
        <v>0</v>
      </c>
      <c r="W100" s="54">
        <f aca="true" t="shared" si="52" ref="W100:AB100">SUM(W81:W99)</f>
        <v>208</v>
      </c>
      <c r="X100" s="54">
        <f t="shared" si="52"/>
        <v>0</v>
      </c>
      <c r="Y100" s="54">
        <f t="shared" si="52"/>
        <v>0</v>
      </c>
      <c r="Z100" s="54">
        <f t="shared" si="52"/>
        <v>0</v>
      </c>
      <c r="AA100" s="30">
        <f t="shared" si="52"/>
        <v>8</v>
      </c>
      <c r="AB100" s="30">
        <f t="shared" si="52"/>
        <v>0.8</v>
      </c>
      <c r="AC100" s="30"/>
      <c r="AD100" s="59">
        <f>SUM(AD81:AD99)</f>
        <v>709444.8</v>
      </c>
      <c r="AE100" s="59" t="e">
        <f>SUM(AE81:AE99)</f>
        <v>#REF!</v>
      </c>
      <c r="AF100" s="55">
        <v>41520</v>
      </c>
    </row>
    <row r="101" spans="1:31" s="55" customFormat="1" ht="12.75">
      <c r="A101" s="55">
        <v>1</v>
      </c>
      <c r="B101" s="63"/>
      <c r="C101" s="63"/>
      <c r="D101" s="63"/>
      <c r="E101" s="63"/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30"/>
      <c r="AB101" s="30"/>
      <c r="AC101" s="30"/>
      <c r="AD101" s="59"/>
      <c r="AE101" s="59"/>
    </row>
    <row r="102" spans="2:22" ht="15.75">
      <c r="B102" s="62" t="s">
        <v>70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6" s="39" customFormat="1" ht="12" customHeight="1">
      <c r="A103" s="106" t="s">
        <v>62</v>
      </c>
      <c r="B103" s="106" t="s">
        <v>63</v>
      </c>
      <c r="C103" s="110" t="s">
        <v>64</v>
      </c>
      <c r="D103" s="110" t="s">
        <v>65</v>
      </c>
      <c r="E103" s="106" t="s">
        <v>66</v>
      </c>
      <c r="F103" s="112" t="s">
        <v>67</v>
      </c>
      <c r="G103" s="107" t="s">
        <v>111</v>
      </c>
      <c r="H103" s="108"/>
      <c r="I103" s="109"/>
      <c r="J103" s="106" t="s">
        <v>68</v>
      </c>
      <c r="K103" s="102" t="s">
        <v>124</v>
      </c>
      <c r="L103" s="102" t="s">
        <v>125</v>
      </c>
      <c r="M103" s="102" t="s">
        <v>126</v>
      </c>
      <c r="N103" s="102" t="s">
        <v>127</v>
      </c>
      <c r="O103" s="102" t="s">
        <v>128</v>
      </c>
      <c r="P103" s="102" t="s">
        <v>129</v>
      </c>
      <c r="Q103" s="102" t="s">
        <v>130</v>
      </c>
      <c r="R103" s="102" t="s">
        <v>131</v>
      </c>
      <c r="S103" s="102" t="s">
        <v>132</v>
      </c>
      <c r="T103" s="102" t="s">
        <v>133</v>
      </c>
      <c r="U103" s="102" t="s">
        <v>134</v>
      </c>
      <c r="V103" s="102" t="s">
        <v>69</v>
      </c>
      <c r="W103" s="104" t="s">
        <v>70</v>
      </c>
      <c r="X103" s="105">
        <v>1110</v>
      </c>
      <c r="Y103" s="105">
        <v>1120</v>
      </c>
      <c r="Z103" s="101" t="s">
        <v>71</v>
      </c>
    </row>
    <row r="104" spans="1:26" s="39" customFormat="1" ht="29.25" customHeight="1">
      <c r="A104" s="106"/>
      <c r="B104" s="106"/>
      <c r="C104" s="111"/>
      <c r="D104" s="111"/>
      <c r="E104" s="106"/>
      <c r="F104" s="113"/>
      <c r="G104" s="40" t="s">
        <v>112</v>
      </c>
      <c r="H104" s="40" t="s">
        <v>113</v>
      </c>
      <c r="I104" s="40" t="s">
        <v>114</v>
      </c>
      <c r="J104" s="106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4"/>
      <c r="X104" s="105"/>
      <c r="Y104" s="105"/>
      <c r="Z104" s="101"/>
    </row>
    <row r="105" spans="1:26" ht="12.75">
      <c r="A105" s="41"/>
      <c r="B105" s="42">
        <v>120300</v>
      </c>
      <c r="C105" s="42"/>
      <c r="D105" s="41"/>
      <c r="E105" s="41"/>
      <c r="F105" s="41"/>
      <c r="G105" s="41"/>
      <c r="H105" s="41"/>
      <c r="I105" s="41"/>
      <c r="J105" s="41"/>
      <c r="K105" s="47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3"/>
      <c r="X105" s="45"/>
      <c r="Y105" s="45"/>
      <c r="Z105" s="46"/>
    </row>
    <row r="106" spans="1:32" ht="12.75">
      <c r="A106" s="41">
        <v>1</v>
      </c>
      <c r="B106" s="41" t="s">
        <v>37</v>
      </c>
      <c r="C106" s="41"/>
      <c r="D106" s="41"/>
      <c r="E106" s="41"/>
      <c r="F106" s="41"/>
      <c r="G106" s="41"/>
      <c r="H106" s="41"/>
      <c r="I106" s="41"/>
      <c r="J106" s="41"/>
      <c r="K106" s="47">
        <f aca="true" t="shared" si="53" ref="K106:V106">K6+K31+K56+K81</f>
        <v>0</v>
      </c>
      <c r="L106" s="47">
        <f t="shared" si="53"/>
        <v>5034</v>
      </c>
      <c r="M106" s="47">
        <f t="shared" si="53"/>
        <v>5034</v>
      </c>
      <c r="N106" s="47">
        <f t="shared" si="53"/>
        <v>5034</v>
      </c>
      <c r="O106" s="47">
        <f t="shared" si="53"/>
        <v>5298</v>
      </c>
      <c r="P106" s="47">
        <f t="shared" si="53"/>
        <v>5298</v>
      </c>
      <c r="Q106" s="47">
        <f t="shared" si="53"/>
        <v>5298</v>
      </c>
      <c r="R106" s="47">
        <f t="shared" si="53"/>
        <v>5298</v>
      </c>
      <c r="S106" s="47">
        <f t="shared" si="53"/>
        <v>5298</v>
      </c>
      <c r="T106" s="47">
        <f t="shared" si="53"/>
        <v>5298</v>
      </c>
      <c r="U106" s="47">
        <f t="shared" si="53"/>
        <v>5298</v>
      </c>
      <c r="V106" s="47">
        <f t="shared" si="53"/>
        <v>5544</v>
      </c>
      <c r="W106" s="57">
        <f aca="true" t="shared" si="54" ref="W106:W124">SUM(K106:V106)</f>
        <v>57732</v>
      </c>
      <c r="X106" s="48"/>
      <c r="Y106" s="49"/>
      <c r="Z106" s="50"/>
      <c r="AA106" s="30">
        <f aca="true" t="shared" si="55" ref="AA106:AA119">K106/4</f>
        <v>0</v>
      </c>
      <c r="AB106" s="30">
        <f>AA106*0.3</f>
        <v>0</v>
      </c>
      <c r="AC106" s="30"/>
      <c r="AD106" s="60">
        <f>'[2]01.01.17(з мінім)'!$M$26</f>
        <v>60403.200000000004</v>
      </c>
      <c r="AE106" s="30" t="e">
        <f>X106-AD106-#REF!</f>
        <v>#REF!</v>
      </c>
      <c r="AF106">
        <f aca="true" t="shared" si="56" ref="AF106:AF119">W106/12</f>
        <v>4811</v>
      </c>
    </row>
    <row r="107" spans="1:32" ht="12.75">
      <c r="A107" s="41">
        <f aca="true" t="shared" si="57" ref="A107:A121">A106+1</f>
        <v>2</v>
      </c>
      <c r="B107" s="51" t="s">
        <v>72</v>
      </c>
      <c r="C107" s="51" t="s">
        <v>73</v>
      </c>
      <c r="D107" s="41"/>
      <c r="E107" s="41"/>
      <c r="F107" s="41"/>
      <c r="G107" s="41"/>
      <c r="H107" s="41"/>
      <c r="I107" s="41"/>
      <c r="J107" s="41"/>
      <c r="K107" s="47">
        <f aca="true" t="shared" si="58" ref="K107:V107">K7+K32+K57+K82</f>
        <v>4531</v>
      </c>
      <c r="L107" s="47">
        <f t="shared" si="58"/>
        <v>4531</v>
      </c>
      <c r="M107" s="47">
        <f t="shared" si="58"/>
        <v>4531</v>
      </c>
      <c r="N107" s="47">
        <f t="shared" si="58"/>
        <v>9061</v>
      </c>
      <c r="O107" s="47"/>
      <c r="P107" s="47">
        <f t="shared" si="58"/>
        <v>4769</v>
      </c>
      <c r="Q107" s="47">
        <f t="shared" si="58"/>
        <v>4769</v>
      </c>
      <c r="R107" s="47">
        <f t="shared" si="58"/>
        <v>4769</v>
      </c>
      <c r="S107" s="47">
        <f t="shared" si="58"/>
        <v>4769</v>
      </c>
      <c r="T107" s="47">
        <f t="shared" si="58"/>
        <v>4769</v>
      </c>
      <c r="U107" s="47">
        <f t="shared" si="58"/>
        <v>4769</v>
      </c>
      <c r="V107" s="47">
        <f t="shared" si="58"/>
        <v>4990</v>
      </c>
      <c r="W107" s="57">
        <f t="shared" si="54"/>
        <v>56258</v>
      </c>
      <c r="X107" s="48"/>
      <c r="Y107" s="49"/>
      <c r="Z107" s="50"/>
      <c r="AA107" s="30">
        <f t="shared" si="55"/>
        <v>1132.75</v>
      </c>
      <c r="AB107" s="30">
        <f>AA107*0.3</f>
        <v>339.825</v>
      </c>
      <c r="AC107" s="30"/>
      <c r="AD107" s="60">
        <f>'[2]01.01.17(з мінім)'!$M$27</f>
        <v>54366</v>
      </c>
      <c r="AE107" s="30" t="e">
        <f>X107-AD107-#REF!</f>
        <v>#REF!</v>
      </c>
      <c r="AF107">
        <f t="shared" si="56"/>
        <v>4688.166666666667</v>
      </c>
    </row>
    <row r="108" spans="1:32" ht="12.75">
      <c r="A108" s="41">
        <f t="shared" si="57"/>
        <v>3</v>
      </c>
      <c r="B108" s="41" t="s">
        <v>75</v>
      </c>
      <c r="C108" s="41" t="s">
        <v>76</v>
      </c>
      <c r="D108" s="41"/>
      <c r="E108" s="41"/>
      <c r="F108" s="41"/>
      <c r="G108" s="41"/>
      <c r="H108" s="41"/>
      <c r="I108" s="41"/>
      <c r="J108" s="41"/>
      <c r="K108" s="47">
        <f aca="true" t="shared" si="59" ref="K108:V108">K8+K33+K58+K83</f>
        <v>0</v>
      </c>
      <c r="L108" s="47">
        <f t="shared" si="59"/>
        <v>4782</v>
      </c>
      <c r="M108" s="47">
        <f t="shared" si="59"/>
        <v>4782</v>
      </c>
      <c r="N108" s="47">
        <f t="shared" si="59"/>
        <v>4782</v>
      </c>
      <c r="O108" s="47">
        <f t="shared" si="59"/>
        <v>5033</v>
      </c>
      <c r="P108" s="47">
        <f t="shared" si="59"/>
        <v>5033</v>
      </c>
      <c r="Q108" s="47">
        <f t="shared" si="59"/>
        <v>5033</v>
      </c>
      <c r="R108" s="47">
        <f t="shared" si="59"/>
        <v>10065</v>
      </c>
      <c r="S108" s="47">
        <f t="shared" si="59"/>
        <v>0</v>
      </c>
      <c r="T108" s="47">
        <f t="shared" si="59"/>
        <v>5033</v>
      </c>
      <c r="U108" s="47">
        <f t="shared" si="59"/>
        <v>5033</v>
      </c>
      <c r="V108" s="47">
        <f t="shared" si="59"/>
        <v>5267</v>
      </c>
      <c r="W108" s="57">
        <f t="shared" si="54"/>
        <v>54843</v>
      </c>
      <c r="X108" s="48"/>
      <c r="Y108" s="49"/>
      <c r="Z108" s="50"/>
      <c r="AA108" s="30">
        <f t="shared" si="55"/>
        <v>0</v>
      </c>
      <c r="AB108" s="30">
        <f>AA108*0.3</f>
        <v>0</v>
      </c>
      <c r="AC108" s="30"/>
      <c r="AD108" s="61">
        <v>57376.8</v>
      </c>
      <c r="AE108" s="30" t="e">
        <f>X108-AD108-#REF!</f>
        <v>#REF!</v>
      </c>
      <c r="AF108">
        <f t="shared" si="56"/>
        <v>4570.25</v>
      </c>
    </row>
    <row r="109" spans="1:32" ht="12.75">
      <c r="A109" s="41">
        <f t="shared" si="57"/>
        <v>4</v>
      </c>
      <c r="B109" s="41" t="s">
        <v>77</v>
      </c>
      <c r="C109" s="41" t="s">
        <v>78</v>
      </c>
      <c r="D109" s="41"/>
      <c r="E109" s="41"/>
      <c r="F109" s="41"/>
      <c r="G109" s="41"/>
      <c r="H109" s="41"/>
      <c r="I109" s="41"/>
      <c r="J109" s="41"/>
      <c r="K109" s="47">
        <f aca="true" t="shared" si="60" ref="K109:V109">K9+K34+K59+K84</f>
        <v>3468</v>
      </c>
      <c r="L109" s="47">
        <f t="shared" si="60"/>
        <v>3468</v>
      </c>
      <c r="M109" s="47">
        <f t="shared" si="60"/>
        <v>3468</v>
      </c>
      <c r="N109" s="47">
        <f t="shared" si="60"/>
        <v>3468</v>
      </c>
      <c r="O109" s="47">
        <f t="shared" si="60"/>
        <v>3649</v>
      </c>
      <c r="P109" s="47">
        <f t="shared" si="60"/>
        <v>7298</v>
      </c>
      <c r="Q109" s="47">
        <f t="shared" si="60"/>
        <v>0</v>
      </c>
      <c r="R109" s="47">
        <f t="shared" si="60"/>
        <v>3649</v>
      </c>
      <c r="S109" s="47">
        <f t="shared" si="60"/>
        <v>3649</v>
      </c>
      <c r="T109" s="47">
        <f t="shared" si="60"/>
        <v>3649</v>
      </c>
      <c r="U109" s="47">
        <f t="shared" si="60"/>
        <v>3649</v>
      </c>
      <c r="V109" s="47">
        <f t="shared" si="60"/>
        <v>3819</v>
      </c>
      <c r="W109" s="57">
        <f t="shared" si="54"/>
        <v>43234</v>
      </c>
      <c r="X109" s="48"/>
      <c r="Y109" s="49"/>
      <c r="Z109" s="50"/>
      <c r="AA109" s="30">
        <f t="shared" si="55"/>
        <v>867</v>
      </c>
      <c r="AB109" s="30">
        <f aca="true" t="shared" si="61" ref="AB109:AB115">AA109*0.1</f>
        <v>86.7</v>
      </c>
      <c r="AC109" s="30"/>
      <c r="AD109" s="30">
        <f>'[2]01.01.17(з мінім)'!$M$30</f>
        <v>42240</v>
      </c>
      <c r="AE109" s="30" t="e">
        <f>X109-AD109-#REF!</f>
        <v>#REF!</v>
      </c>
      <c r="AF109">
        <f t="shared" si="56"/>
        <v>3602.8333333333335</v>
      </c>
    </row>
    <row r="110" spans="1:32" ht="12.75">
      <c r="A110" s="41">
        <f t="shared" si="57"/>
        <v>5</v>
      </c>
      <c r="B110" s="41" t="s">
        <v>77</v>
      </c>
      <c r="C110" s="41" t="s">
        <v>79</v>
      </c>
      <c r="D110" s="41"/>
      <c r="E110" s="41"/>
      <c r="F110" s="41"/>
      <c r="G110" s="41"/>
      <c r="H110" s="41"/>
      <c r="I110" s="41"/>
      <c r="J110" s="41"/>
      <c r="K110" s="47">
        <f aca="true" t="shared" si="62" ref="K110:V110">K10+K35+K60+K85</f>
        <v>3468</v>
      </c>
      <c r="L110" s="47">
        <f t="shared" si="62"/>
        <v>3468</v>
      </c>
      <c r="M110" s="47">
        <f t="shared" si="62"/>
        <v>3468</v>
      </c>
      <c r="N110" s="47">
        <f t="shared" si="62"/>
        <v>3468</v>
      </c>
      <c r="O110" s="47">
        <f t="shared" si="62"/>
        <v>3649</v>
      </c>
      <c r="P110" s="47">
        <f t="shared" si="62"/>
        <v>3649</v>
      </c>
      <c r="Q110" s="47">
        <f t="shared" si="62"/>
        <v>7298</v>
      </c>
      <c r="R110" s="47">
        <f t="shared" si="62"/>
        <v>7298</v>
      </c>
      <c r="S110" s="47">
        <f t="shared" si="62"/>
        <v>3649</v>
      </c>
      <c r="T110" s="47">
        <f t="shared" si="62"/>
        <v>3649</v>
      </c>
      <c r="U110" s="47">
        <f t="shared" si="62"/>
        <v>3649</v>
      </c>
      <c r="V110" s="47">
        <f t="shared" si="62"/>
        <v>3819</v>
      </c>
      <c r="W110" s="57">
        <f t="shared" si="54"/>
        <v>50532</v>
      </c>
      <c r="X110" s="48"/>
      <c r="Y110" s="49"/>
      <c r="Z110" s="50"/>
      <c r="AA110" s="30">
        <f t="shared" si="55"/>
        <v>867</v>
      </c>
      <c r="AB110" s="30">
        <f t="shared" si="61"/>
        <v>86.7</v>
      </c>
      <c r="AC110" s="30"/>
      <c r="AD110" s="30">
        <f>AD109</f>
        <v>42240</v>
      </c>
      <c r="AE110" s="30" t="e">
        <f>X110-AD110-#REF!</f>
        <v>#REF!</v>
      </c>
      <c r="AF110">
        <f t="shared" si="56"/>
        <v>4211</v>
      </c>
    </row>
    <row r="111" spans="1:32" ht="12.75">
      <c r="A111" s="41">
        <f t="shared" si="57"/>
        <v>6</v>
      </c>
      <c r="B111" s="41" t="s">
        <v>80</v>
      </c>
      <c r="C111" s="41" t="s">
        <v>81</v>
      </c>
      <c r="D111" s="41"/>
      <c r="E111" s="41"/>
      <c r="F111" s="41"/>
      <c r="G111" s="41"/>
      <c r="H111" s="41"/>
      <c r="I111" s="41"/>
      <c r="J111" s="41"/>
      <c r="K111" s="47">
        <f aca="true" t="shared" si="63" ref="K111:V111">K11+K36+K61+K86</f>
        <v>3204</v>
      </c>
      <c r="L111" s="47">
        <f t="shared" si="63"/>
        <v>3204</v>
      </c>
      <c r="M111" s="47">
        <f t="shared" si="63"/>
        <v>3204</v>
      </c>
      <c r="N111" s="47">
        <f t="shared" si="63"/>
        <v>3204</v>
      </c>
      <c r="O111" s="47">
        <f t="shared" si="63"/>
        <v>3242</v>
      </c>
      <c r="P111" s="47">
        <f t="shared" si="63"/>
        <v>3242</v>
      </c>
      <c r="Q111" s="47">
        <f t="shared" si="63"/>
        <v>3242</v>
      </c>
      <c r="R111" s="47">
        <f t="shared" si="63"/>
        <v>6483</v>
      </c>
      <c r="S111" s="47">
        <f t="shared" si="63"/>
        <v>0</v>
      </c>
      <c r="T111" s="47">
        <f t="shared" si="63"/>
        <v>3242</v>
      </c>
      <c r="U111" s="47">
        <f t="shared" si="63"/>
        <v>3242</v>
      </c>
      <c r="V111" s="47">
        <f t="shared" si="63"/>
        <v>3256</v>
      </c>
      <c r="W111" s="57">
        <f t="shared" si="54"/>
        <v>38765</v>
      </c>
      <c r="X111" s="48"/>
      <c r="Y111" s="49"/>
      <c r="Z111" s="50"/>
      <c r="AA111" s="30">
        <f t="shared" si="55"/>
        <v>801</v>
      </c>
      <c r="AB111" s="30">
        <f t="shared" si="61"/>
        <v>80.10000000000001</v>
      </c>
      <c r="AC111" s="30"/>
      <c r="AD111" s="30">
        <f>AD110</f>
        <v>42240</v>
      </c>
      <c r="AE111" s="30" t="e">
        <f>X111-AD111-#REF!</f>
        <v>#REF!</v>
      </c>
      <c r="AF111">
        <f t="shared" si="56"/>
        <v>3230.4166666666665</v>
      </c>
    </row>
    <row r="112" spans="1:32" ht="12.75">
      <c r="A112" s="41">
        <f t="shared" si="57"/>
        <v>7</v>
      </c>
      <c r="B112" s="41" t="s">
        <v>80</v>
      </c>
      <c r="C112" s="41" t="s">
        <v>82</v>
      </c>
      <c r="D112" s="41"/>
      <c r="E112" s="41"/>
      <c r="F112" s="41"/>
      <c r="G112" s="41"/>
      <c r="H112" s="41"/>
      <c r="I112" s="41"/>
      <c r="J112" s="41"/>
      <c r="K112" s="47">
        <f aca="true" t="shared" si="64" ref="K112:V112">K12+K37+K62+K87</f>
        <v>3450</v>
      </c>
      <c r="L112" s="47">
        <f t="shared" si="64"/>
        <v>6900</v>
      </c>
      <c r="M112" s="47">
        <f t="shared" si="64"/>
        <v>0</v>
      </c>
      <c r="N112" s="47">
        <f t="shared" si="64"/>
        <v>3450</v>
      </c>
      <c r="O112" s="47">
        <f t="shared" si="64"/>
        <v>3501</v>
      </c>
      <c r="P112" s="47">
        <f t="shared" si="64"/>
        <v>3501</v>
      </c>
      <c r="Q112" s="47">
        <f t="shared" si="64"/>
        <v>3501</v>
      </c>
      <c r="R112" s="47">
        <f t="shared" si="64"/>
        <v>3501</v>
      </c>
      <c r="S112" s="47">
        <f t="shared" si="64"/>
        <v>3501</v>
      </c>
      <c r="T112" s="47">
        <f t="shared" si="64"/>
        <v>3501</v>
      </c>
      <c r="U112" s="47">
        <f t="shared" si="64"/>
        <v>3501</v>
      </c>
      <c r="V112" s="47">
        <f t="shared" si="64"/>
        <v>3527</v>
      </c>
      <c r="W112" s="57">
        <f t="shared" si="54"/>
        <v>41834</v>
      </c>
      <c r="X112" s="48"/>
      <c r="Y112" s="49"/>
      <c r="Z112" s="50"/>
      <c r="AA112" s="30">
        <f t="shared" si="55"/>
        <v>862.5</v>
      </c>
      <c r="AB112" s="30">
        <f t="shared" si="61"/>
        <v>86.25</v>
      </c>
      <c r="AC112" s="30"/>
      <c r="AD112">
        <v>48000</v>
      </c>
      <c r="AE112" s="30" t="e">
        <f>X112-AD112-#REF!</f>
        <v>#REF!</v>
      </c>
      <c r="AF112">
        <f t="shared" si="56"/>
        <v>3486.1666666666665</v>
      </c>
    </row>
    <row r="113" spans="1:32" ht="12.75">
      <c r="A113" s="41">
        <f t="shared" si="57"/>
        <v>8</v>
      </c>
      <c r="B113" s="41" t="s">
        <v>83</v>
      </c>
      <c r="C113" s="41" t="s">
        <v>143</v>
      </c>
      <c r="D113" s="41"/>
      <c r="E113" s="41"/>
      <c r="F113" s="41"/>
      <c r="G113" s="41"/>
      <c r="H113" s="41"/>
      <c r="I113" s="41"/>
      <c r="J113" s="41"/>
      <c r="K113" s="47">
        <f aca="true" t="shared" si="65" ref="K113:V113">K13+K38+K63+K88</f>
        <v>4357</v>
      </c>
      <c r="L113" s="47">
        <f t="shared" si="65"/>
        <v>4357</v>
      </c>
      <c r="M113" s="47">
        <f t="shared" si="65"/>
        <v>4357</v>
      </c>
      <c r="N113" s="47">
        <f t="shared" si="65"/>
        <v>4357</v>
      </c>
      <c r="O113" s="47">
        <f t="shared" si="65"/>
        <v>8804</v>
      </c>
      <c r="P113" s="47"/>
      <c r="Q113" s="47">
        <f t="shared" si="65"/>
        <v>4402</v>
      </c>
      <c r="R113" s="47">
        <f t="shared" si="65"/>
        <v>4402</v>
      </c>
      <c r="S113" s="47">
        <f t="shared" si="65"/>
        <v>4402</v>
      </c>
      <c r="T113" s="47">
        <f t="shared" si="65"/>
        <v>4402</v>
      </c>
      <c r="U113" s="47">
        <f t="shared" si="65"/>
        <v>4402</v>
      </c>
      <c r="V113" s="47">
        <f t="shared" si="65"/>
        <v>4414</v>
      </c>
      <c r="W113" s="57">
        <f t="shared" si="54"/>
        <v>52656</v>
      </c>
      <c r="X113" s="48"/>
      <c r="Y113" s="49"/>
      <c r="Z113" s="50"/>
      <c r="AA113" s="30">
        <f t="shared" si="55"/>
        <v>1089.25</v>
      </c>
      <c r="AB113" s="30">
        <f t="shared" si="61"/>
        <v>108.92500000000001</v>
      </c>
      <c r="AC113" s="30"/>
      <c r="AD113">
        <v>46002</v>
      </c>
      <c r="AE113" s="30" t="e">
        <f>X113-AD113-#REF!</f>
        <v>#REF!</v>
      </c>
      <c r="AF113">
        <f t="shared" si="56"/>
        <v>4388</v>
      </c>
    </row>
    <row r="114" spans="1:32" ht="12.75">
      <c r="A114" s="41">
        <f t="shared" si="57"/>
        <v>9</v>
      </c>
      <c r="B114" s="41" t="s">
        <v>77</v>
      </c>
      <c r="C114" s="41" t="s">
        <v>84</v>
      </c>
      <c r="D114" s="41"/>
      <c r="E114" s="41"/>
      <c r="F114" s="41"/>
      <c r="G114" s="41"/>
      <c r="H114" s="41"/>
      <c r="I114" s="41"/>
      <c r="J114" s="41"/>
      <c r="K114" s="47">
        <f aca="true" t="shared" si="66" ref="K114:V114">K14+K39+K64+K89</f>
        <v>6935</v>
      </c>
      <c r="L114" s="47"/>
      <c r="M114" s="47">
        <f t="shared" si="66"/>
        <v>3468</v>
      </c>
      <c r="N114" s="47">
        <f t="shared" si="66"/>
        <v>3468</v>
      </c>
      <c r="O114" s="47">
        <f t="shared" si="66"/>
        <v>3649</v>
      </c>
      <c r="P114" s="47">
        <f t="shared" si="66"/>
        <v>3649</v>
      </c>
      <c r="Q114" s="47">
        <f t="shared" si="66"/>
        <v>3649</v>
      </c>
      <c r="R114" s="47">
        <f t="shared" si="66"/>
        <v>3649</v>
      </c>
      <c r="S114" s="47">
        <f t="shared" si="66"/>
        <v>3649</v>
      </c>
      <c r="T114" s="47">
        <f t="shared" si="66"/>
        <v>3649</v>
      </c>
      <c r="U114" s="47">
        <f t="shared" si="66"/>
        <v>3649</v>
      </c>
      <c r="V114" s="47">
        <f t="shared" si="66"/>
        <v>3819</v>
      </c>
      <c r="W114" s="57">
        <f t="shared" si="54"/>
        <v>43233</v>
      </c>
      <c r="X114" s="48"/>
      <c r="Y114" s="49"/>
      <c r="Z114" s="50"/>
      <c r="AA114" s="30">
        <f t="shared" si="55"/>
        <v>1733.75</v>
      </c>
      <c r="AB114" s="30">
        <f t="shared" si="61"/>
        <v>173.375</v>
      </c>
      <c r="AC114" s="30"/>
      <c r="AD114" s="30">
        <f>AD111</f>
        <v>42240</v>
      </c>
      <c r="AE114" s="30" t="e">
        <f>X114-AD114-#REF!</f>
        <v>#REF!</v>
      </c>
      <c r="AF114">
        <f t="shared" si="56"/>
        <v>3602.75</v>
      </c>
    </row>
    <row r="115" spans="1:32" ht="12.75">
      <c r="A115" s="41">
        <f t="shared" si="57"/>
        <v>10</v>
      </c>
      <c r="B115" s="41" t="s">
        <v>77</v>
      </c>
      <c r="C115" s="41" t="s">
        <v>85</v>
      </c>
      <c r="D115" s="41"/>
      <c r="E115" s="41"/>
      <c r="F115" s="41"/>
      <c r="G115" s="41"/>
      <c r="H115" s="41"/>
      <c r="I115" s="41"/>
      <c r="J115" s="41"/>
      <c r="K115" s="47">
        <f aca="true" t="shared" si="67" ref="K115:V115">K15+K40+K65+K90</f>
        <v>3468</v>
      </c>
      <c r="L115" s="47">
        <f t="shared" si="67"/>
        <v>3468</v>
      </c>
      <c r="M115" s="47">
        <f t="shared" si="67"/>
        <v>3468</v>
      </c>
      <c r="N115" s="47">
        <f t="shared" si="67"/>
        <v>3468</v>
      </c>
      <c r="O115" s="47">
        <f t="shared" si="67"/>
        <v>7298</v>
      </c>
      <c r="P115" s="47">
        <f t="shared" si="67"/>
        <v>0</v>
      </c>
      <c r="Q115" s="47">
        <f t="shared" si="67"/>
        <v>3649</v>
      </c>
      <c r="R115" s="47">
        <f t="shared" si="67"/>
        <v>3649</v>
      </c>
      <c r="S115" s="47">
        <f t="shared" si="67"/>
        <v>3649</v>
      </c>
      <c r="T115" s="47">
        <f t="shared" si="67"/>
        <v>3649</v>
      </c>
      <c r="U115" s="47">
        <f t="shared" si="67"/>
        <v>3649</v>
      </c>
      <c r="V115" s="47">
        <f t="shared" si="67"/>
        <v>3819</v>
      </c>
      <c r="W115" s="57">
        <f t="shared" si="54"/>
        <v>43234</v>
      </c>
      <c r="X115" s="48"/>
      <c r="Y115" s="49"/>
      <c r="Z115" s="50"/>
      <c r="AA115" s="30">
        <f t="shared" si="55"/>
        <v>867</v>
      </c>
      <c r="AB115" s="30">
        <f t="shared" si="61"/>
        <v>86.7</v>
      </c>
      <c r="AC115" s="30"/>
      <c r="AD115" s="30">
        <f>AD114</f>
        <v>42240</v>
      </c>
      <c r="AE115" s="30" t="e">
        <f>X115-AD115-#REF!</f>
        <v>#REF!</v>
      </c>
      <c r="AF115">
        <f t="shared" si="56"/>
        <v>3602.8333333333335</v>
      </c>
    </row>
    <row r="116" spans="1:32" ht="12.75">
      <c r="A116" s="41">
        <f t="shared" si="57"/>
        <v>11</v>
      </c>
      <c r="B116" s="41" t="s">
        <v>75</v>
      </c>
      <c r="C116" s="41" t="s">
        <v>116</v>
      </c>
      <c r="D116" s="41"/>
      <c r="E116" s="41"/>
      <c r="F116" s="41"/>
      <c r="G116" s="41"/>
      <c r="H116" s="41"/>
      <c r="I116" s="41"/>
      <c r="J116" s="41"/>
      <c r="K116" s="47">
        <f aca="true" t="shared" si="68" ref="K116:V116">K16+K41+K66+K91</f>
        <v>4782</v>
      </c>
      <c r="L116" s="47">
        <f t="shared" si="68"/>
        <v>4782</v>
      </c>
      <c r="M116" s="47">
        <f t="shared" si="68"/>
        <v>4782</v>
      </c>
      <c r="N116" s="47">
        <f t="shared" si="68"/>
        <v>4782</v>
      </c>
      <c r="O116" s="47">
        <f t="shared" si="68"/>
        <v>5033</v>
      </c>
      <c r="P116" s="47">
        <f t="shared" si="68"/>
        <v>5033</v>
      </c>
      <c r="Q116" s="47">
        <f t="shared" si="68"/>
        <v>10065</v>
      </c>
      <c r="R116" s="47">
        <f t="shared" si="68"/>
        <v>0</v>
      </c>
      <c r="S116" s="47">
        <f t="shared" si="68"/>
        <v>5033</v>
      </c>
      <c r="T116" s="47">
        <f t="shared" si="68"/>
        <v>5033</v>
      </c>
      <c r="U116" s="47">
        <f t="shared" si="68"/>
        <v>5033</v>
      </c>
      <c r="V116" s="47">
        <f t="shared" si="68"/>
        <v>5267</v>
      </c>
      <c r="W116" s="57">
        <f t="shared" si="54"/>
        <v>59625</v>
      </c>
      <c r="X116" s="48"/>
      <c r="Y116" s="49"/>
      <c r="Z116" s="50"/>
      <c r="AA116" s="30">
        <f t="shared" si="55"/>
        <v>1195.5</v>
      </c>
      <c r="AB116" s="30">
        <f>AA116*0.3</f>
        <v>358.65</v>
      </c>
      <c r="AC116" s="30"/>
      <c r="AD116" s="61">
        <v>57376.8</v>
      </c>
      <c r="AE116" s="30" t="e">
        <f>X116-AD116-#REF!</f>
        <v>#REF!</v>
      </c>
      <c r="AF116">
        <f t="shared" si="56"/>
        <v>4968.75</v>
      </c>
    </row>
    <row r="117" spans="1:32" ht="12.75">
      <c r="A117" s="41">
        <f t="shared" si="57"/>
        <v>12</v>
      </c>
      <c r="B117" s="41" t="s">
        <v>77</v>
      </c>
      <c r="C117" s="41" t="s">
        <v>117</v>
      </c>
      <c r="D117" s="41"/>
      <c r="E117" s="41"/>
      <c r="F117" s="41"/>
      <c r="G117" s="41"/>
      <c r="H117" s="41"/>
      <c r="I117" s="41"/>
      <c r="J117" s="41"/>
      <c r="K117" s="47">
        <f aca="true" t="shared" si="69" ref="K117:V117">K17+K42+K67+K92</f>
        <v>3468</v>
      </c>
      <c r="L117" s="47">
        <f t="shared" si="69"/>
        <v>3468</v>
      </c>
      <c r="M117" s="47">
        <f t="shared" si="69"/>
        <v>3468</v>
      </c>
      <c r="N117" s="47">
        <f t="shared" si="69"/>
        <v>3468</v>
      </c>
      <c r="O117" s="47">
        <f t="shared" si="69"/>
        <v>3649</v>
      </c>
      <c r="P117" s="47">
        <f t="shared" si="69"/>
        <v>3649</v>
      </c>
      <c r="Q117" s="47">
        <f t="shared" si="69"/>
        <v>3649</v>
      </c>
      <c r="R117" s="47">
        <f t="shared" si="69"/>
        <v>3649</v>
      </c>
      <c r="S117" s="47">
        <f t="shared" si="69"/>
        <v>7298</v>
      </c>
      <c r="T117" s="47">
        <f t="shared" si="69"/>
        <v>0</v>
      </c>
      <c r="U117" s="47">
        <f t="shared" si="69"/>
        <v>3649</v>
      </c>
      <c r="V117" s="47">
        <f t="shared" si="69"/>
        <v>3819</v>
      </c>
      <c r="W117" s="57">
        <f t="shared" si="54"/>
        <v>43234</v>
      </c>
      <c r="X117" s="48"/>
      <c r="Y117" s="49"/>
      <c r="Z117" s="50"/>
      <c r="AA117" s="30">
        <f t="shared" si="55"/>
        <v>867</v>
      </c>
      <c r="AB117" s="30">
        <f>AA117*0.1</f>
        <v>86.7</v>
      </c>
      <c r="AC117" s="30"/>
      <c r="AD117" s="30">
        <f>AD115</f>
        <v>42240</v>
      </c>
      <c r="AE117" s="30" t="e">
        <f>X117-AD117-#REF!</f>
        <v>#REF!</v>
      </c>
      <c r="AF117">
        <f t="shared" si="56"/>
        <v>3602.8333333333335</v>
      </c>
    </row>
    <row r="118" spans="1:32" ht="12.75">
      <c r="A118" s="41">
        <f t="shared" si="57"/>
        <v>13</v>
      </c>
      <c r="B118" s="41" t="s">
        <v>77</v>
      </c>
      <c r="C118" s="41" t="s">
        <v>118</v>
      </c>
      <c r="D118" s="41"/>
      <c r="E118" s="41"/>
      <c r="F118" s="41"/>
      <c r="G118" s="41"/>
      <c r="H118" s="41"/>
      <c r="I118" s="41"/>
      <c r="J118" s="41"/>
      <c r="K118" s="47">
        <f aca="true" t="shared" si="70" ref="K118:V118">K18+K43+K68+K93</f>
        <v>4782</v>
      </c>
      <c r="L118" s="47">
        <f t="shared" si="70"/>
        <v>3468</v>
      </c>
      <c r="M118" s="47">
        <f t="shared" si="70"/>
        <v>6935</v>
      </c>
      <c r="N118" s="47">
        <f t="shared" si="70"/>
        <v>0</v>
      </c>
      <c r="O118" s="47">
        <f t="shared" si="70"/>
        <v>3649</v>
      </c>
      <c r="P118" s="47">
        <f t="shared" si="70"/>
        <v>3649</v>
      </c>
      <c r="Q118" s="47">
        <f t="shared" si="70"/>
        <v>3649</v>
      </c>
      <c r="R118" s="47">
        <f t="shared" si="70"/>
        <v>3649</v>
      </c>
      <c r="S118" s="47">
        <f t="shared" si="70"/>
        <v>3649</v>
      </c>
      <c r="T118" s="47">
        <f t="shared" si="70"/>
        <v>3649</v>
      </c>
      <c r="U118" s="47">
        <f t="shared" si="70"/>
        <v>3649</v>
      </c>
      <c r="V118" s="47">
        <f t="shared" si="70"/>
        <v>3819</v>
      </c>
      <c r="W118" s="57">
        <f t="shared" si="54"/>
        <v>44547</v>
      </c>
      <c r="X118" s="48"/>
      <c r="Y118" s="49"/>
      <c r="Z118" s="50"/>
      <c r="AA118" s="30">
        <f t="shared" si="55"/>
        <v>1195.5</v>
      </c>
      <c r="AB118" s="30">
        <f>AA118*0.1</f>
        <v>119.55000000000001</v>
      </c>
      <c r="AC118" s="30"/>
      <c r="AD118" s="30">
        <f>AD117</f>
        <v>42240</v>
      </c>
      <c r="AE118" s="30" t="e">
        <f>X118-AD118-#REF!</f>
        <v>#REF!</v>
      </c>
      <c r="AF118">
        <f t="shared" si="56"/>
        <v>3712.25</v>
      </c>
    </row>
    <row r="119" spans="1:32" ht="12.75">
      <c r="A119" s="41">
        <f t="shared" si="57"/>
        <v>14</v>
      </c>
      <c r="B119" s="41" t="s">
        <v>77</v>
      </c>
      <c r="C119" s="41" t="s">
        <v>119</v>
      </c>
      <c r="D119" s="41"/>
      <c r="E119" s="41"/>
      <c r="F119" s="41"/>
      <c r="G119" s="41"/>
      <c r="H119" s="41"/>
      <c r="I119" s="41"/>
      <c r="J119" s="41"/>
      <c r="K119" s="47">
        <f aca="true" t="shared" si="71" ref="K119:V119">K19+K44+K69+K94</f>
        <v>1600</v>
      </c>
      <c r="L119" s="47">
        <f t="shared" si="71"/>
        <v>1600</v>
      </c>
      <c r="M119" s="47">
        <f t="shared" si="71"/>
        <v>1600</v>
      </c>
      <c r="N119" s="47">
        <f t="shared" si="71"/>
        <v>1600</v>
      </c>
      <c r="O119" s="47">
        <f t="shared" si="71"/>
        <v>1658.5</v>
      </c>
      <c r="P119" s="47">
        <f t="shared" si="71"/>
        <v>3317</v>
      </c>
      <c r="Q119" s="47">
        <f t="shared" si="71"/>
        <v>0</v>
      </c>
      <c r="R119" s="47">
        <f t="shared" si="71"/>
        <v>1658.5</v>
      </c>
      <c r="S119" s="47">
        <f t="shared" si="71"/>
        <v>1658.5</v>
      </c>
      <c r="T119" s="47">
        <f t="shared" si="71"/>
        <v>1658.5</v>
      </c>
      <c r="U119" s="47">
        <f t="shared" si="71"/>
        <v>1658.5</v>
      </c>
      <c r="V119" s="47">
        <f t="shared" si="71"/>
        <v>1735.5</v>
      </c>
      <c r="W119" s="57">
        <f t="shared" si="54"/>
        <v>19745</v>
      </c>
      <c r="X119" s="48"/>
      <c r="Y119" s="49"/>
      <c r="Z119" s="50"/>
      <c r="AA119" s="30">
        <f t="shared" si="55"/>
        <v>400</v>
      </c>
      <c r="AB119" s="30">
        <f>AA119*0.1</f>
        <v>40</v>
      </c>
      <c r="AC119" s="30"/>
      <c r="AD119" s="30">
        <f>AD118</f>
        <v>42240</v>
      </c>
      <c r="AE119" s="30" t="e">
        <f>X119-AD119-#REF!</f>
        <v>#REF!</v>
      </c>
      <c r="AF119">
        <f t="shared" si="56"/>
        <v>1645.4166666666667</v>
      </c>
    </row>
    <row r="120" spans="1:31" ht="12.75">
      <c r="A120" s="41">
        <f t="shared" si="57"/>
        <v>15</v>
      </c>
      <c r="B120" s="41" t="s">
        <v>77</v>
      </c>
      <c r="C120" s="41" t="s">
        <v>136</v>
      </c>
      <c r="D120" s="41"/>
      <c r="E120" s="41"/>
      <c r="F120" s="41"/>
      <c r="G120" s="41"/>
      <c r="H120" s="41"/>
      <c r="I120" s="41"/>
      <c r="J120" s="41"/>
      <c r="K120" s="47">
        <f aca="true" t="shared" si="72" ref="K120:V120">K20+K45+K70+K95</f>
        <v>1813</v>
      </c>
      <c r="L120" s="47">
        <f t="shared" si="72"/>
        <v>1813</v>
      </c>
      <c r="M120" s="47">
        <f t="shared" si="72"/>
        <v>3625</v>
      </c>
      <c r="N120" s="47">
        <f t="shared" si="72"/>
        <v>0</v>
      </c>
      <c r="O120" s="47">
        <f t="shared" si="72"/>
        <v>1907.5</v>
      </c>
      <c r="P120" s="47">
        <f t="shared" si="72"/>
        <v>1907.5</v>
      </c>
      <c r="Q120" s="47">
        <f t="shared" si="72"/>
        <v>1907.5</v>
      </c>
      <c r="R120" s="47">
        <f t="shared" si="72"/>
        <v>1907.5</v>
      </c>
      <c r="S120" s="47">
        <f t="shared" si="72"/>
        <v>1907.5</v>
      </c>
      <c r="T120" s="47">
        <f t="shared" si="72"/>
        <v>1907.5</v>
      </c>
      <c r="U120" s="47">
        <f t="shared" si="72"/>
        <v>1907.5</v>
      </c>
      <c r="V120" s="47">
        <f t="shared" si="72"/>
        <v>1996.5</v>
      </c>
      <c r="W120" s="57">
        <f t="shared" si="54"/>
        <v>22600</v>
      </c>
      <c r="X120" s="48"/>
      <c r="Y120" s="49"/>
      <c r="Z120" s="50"/>
      <c r="AA120" s="30"/>
      <c r="AB120" s="30"/>
      <c r="AC120" s="30"/>
      <c r="AD120" s="30"/>
      <c r="AE120" s="30"/>
    </row>
    <row r="121" spans="1:31" ht="12.75">
      <c r="A121" s="41">
        <f t="shared" si="57"/>
        <v>16</v>
      </c>
      <c r="B121" s="41" t="s">
        <v>77</v>
      </c>
      <c r="C121" s="41" t="s">
        <v>137</v>
      </c>
      <c r="D121" s="41"/>
      <c r="E121" s="41"/>
      <c r="F121" s="41"/>
      <c r="G121" s="41"/>
      <c r="H121" s="41"/>
      <c r="I121" s="41"/>
      <c r="J121" s="41"/>
      <c r="K121" s="47">
        <f aca="true" t="shared" si="73" ref="K121:V121">K21+K46+K71+K96</f>
        <v>1600</v>
      </c>
      <c r="L121" s="47">
        <f t="shared" si="73"/>
        <v>0</v>
      </c>
      <c r="M121" s="47">
        <f t="shared" si="73"/>
        <v>0</v>
      </c>
      <c r="N121" s="47">
        <f t="shared" si="73"/>
        <v>0</v>
      </c>
      <c r="O121" s="47">
        <f t="shared" si="73"/>
        <v>0</v>
      </c>
      <c r="P121" s="47">
        <f t="shared" si="73"/>
        <v>0</v>
      </c>
      <c r="Q121" s="47">
        <f t="shared" si="73"/>
        <v>0</v>
      </c>
      <c r="R121" s="47">
        <f t="shared" si="73"/>
        <v>0</v>
      </c>
      <c r="S121" s="47">
        <f t="shared" si="73"/>
        <v>0</v>
      </c>
      <c r="T121" s="47">
        <f t="shared" si="73"/>
        <v>0</v>
      </c>
      <c r="U121" s="47">
        <f t="shared" si="73"/>
        <v>0</v>
      </c>
      <c r="V121" s="47">
        <f t="shared" si="73"/>
        <v>0</v>
      </c>
      <c r="W121" s="57">
        <f t="shared" si="54"/>
        <v>1600</v>
      </c>
      <c r="X121" s="48"/>
      <c r="Y121" s="49"/>
      <c r="Z121" s="50"/>
      <c r="AA121" s="30"/>
      <c r="AB121" s="30"/>
      <c r="AC121" s="30"/>
      <c r="AD121" s="30"/>
      <c r="AE121" s="30"/>
    </row>
    <row r="122" spans="1:31" ht="12.75">
      <c r="A122" s="41">
        <v>17</v>
      </c>
      <c r="B122" s="41" t="s">
        <v>77</v>
      </c>
      <c r="C122" s="41" t="s">
        <v>142</v>
      </c>
      <c r="D122" s="41"/>
      <c r="E122" s="41"/>
      <c r="F122" s="41"/>
      <c r="G122" s="41"/>
      <c r="H122" s="41"/>
      <c r="I122" s="41"/>
      <c r="J122" s="41"/>
      <c r="K122" s="47">
        <f aca="true" t="shared" si="74" ref="K122:V122">K22+K47+K72+K97</f>
        <v>1600</v>
      </c>
      <c r="L122" s="47">
        <f t="shared" si="74"/>
        <v>0</v>
      </c>
      <c r="M122" s="47">
        <f t="shared" si="74"/>
        <v>0</v>
      </c>
      <c r="N122" s="47">
        <f t="shared" si="74"/>
        <v>0</v>
      </c>
      <c r="O122" s="47">
        <f t="shared" si="74"/>
        <v>0</v>
      </c>
      <c r="P122" s="47">
        <f t="shared" si="74"/>
        <v>0</v>
      </c>
      <c r="Q122" s="47">
        <f t="shared" si="74"/>
        <v>0</v>
      </c>
      <c r="R122" s="47">
        <f t="shared" si="74"/>
        <v>0</v>
      </c>
      <c r="S122" s="47">
        <f t="shared" si="74"/>
        <v>0</v>
      </c>
      <c r="T122" s="47">
        <f t="shared" si="74"/>
        <v>0</v>
      </c>
      <c r="U122" s="47">
        <f t="shared" si="74"/>
        <v>0</v>
      </c>
      <c r="V122" s="47">
        <f t="shared" si="74"/>
        <v>0</v>
      </c>
      <c r="W122" s="57">
        <f t="shared" si="54"/>
        <v>1600</v>
      </c>
      <c r="X122" s="48"/>
      <c r="Y122" s="49"/>
      <c r="Z122" s="50"/>
      <c r="AA122" s="30"/>
      <c r="AB122" s="30"/>
      <c r="AC122" s="30"/>
      <c r="AD122" s="30"/>
      <c r="AE122" s="30"/>
    </row>
    <row r="123" spans="1:31" ht="12.75">
      <c r="A123" s="41">
        <f>A121+1</f>
        <v>17</v>
      </c>
      <c r="B123" s="41" t="s">
        <v>120</v>
      </c>
      <c r="C123" s="41" t="s">
        <v>138</v>
      </c>
      <c r="D123" s="41"/>
      <c r="E123" s="41"/>
      <c r="F123" s="41"/>
      <c r="G123" s="41"/>
      <c r="H123" s="41"/>
      <c r="I123" s="41"/>
      <c r="J123" s="41"/>
      <c r="K123" s="47">
        <f aca="true" t="shared" si="75" ref="K123:V123">K23+K48+K73+K98</f>
        <v>1600</v>
      </c>
      <c r="L123" s="47">
        <f t="shared" si="75"/>
        <v>1600</v>
      </c>
      <c r="M123" s="47">
        <f t="shared" si="75"/>
        <v>1600</v>
      </c>
      <c r="N123" s="47">
        <f t="shared" si="75"/>
        <v>1600</v>
      </c>
      <c r="O123" s="47">
        <f t="shared" si="75"/>
        <v>1675.5</v>
      </c>
      <c r="P123" s="47">
        <f t="shared" si="75"/>
        <v>1675.5</v>
      </c>
      <c r="Q123" s="47">
        <f t="shared" si="75"/>
        <v>3350</v>
      </c>
      <c r="R123" s="47">
        <f t="shared" si="75"/>
        <v>0</v>
      </c>
      <c r="S123" s="47">
        <f t="shared" si="75"/>
        <v>1675.5</v>
      </c>
      <c r="T123" s="47">
        <f t="shared" si="75"/>
        <v>1675.5</v>
      </c>
      <c r="U123" s="47">
        <f t="shared" si="75"/>
        <v>1675.5</v>
      </c>
      <c r="V123" s="47">
        <f t="shared" si="75"/>
        <v>1753</v>
      </c>
      <c r="W123" s="57">
        <f t="shared" si="54"/>
        <v>19880.5</v>
      </c>
      <c r="X123" s="48"/>
      <c r="Y123" s="49"/>
      <c r="Z123" s="50"/>
      <c r="AA123" s="30"/>
      <c r="AB123" s="30"/>
      <c r="AC123" s="30"/>
      <c r="AD123" s="30"/>
      <c r="AE123" s="30"/>
    </row>
    <row r="124" spans="1:32" ht="12.75">
      <c r="A124" s="41">
        <f>A123+1</f>
        <v>18</v>
      </c>
      <c r="B124" s="41" t="s">
        <v>120</v>
      </c>
      <c r="C124" s="41" t="s">
        <v>121</v>
      </c>
      <c r="D124" s="41"/>
      <c r="E124" s="41"/>
      <c r="F124" s="41"/>
      <c r="G124" s="41"/>
      <c r="H124" s="41"/>
      <c r="I124" s="41"/>
      <c r="J124" s="41"/>
      <c r="K124" s="47">
        <f aca="true" t="shared" si="76" ref="K124:V124">K24+K49+K74+K99</f>
        <v>1600</v>
      </c>
      <c r="L124" s="47">
        <f t="shared" si="76"/>
        <v>1600</v>
      </c>
      <c r="M124" s="47">
        <f t="shared" si="76"/>
        <v>1600</v>
      </c>
      <c r="N124" s="47">
        <f t="shared" si="76"/>
        <v>1600</v>
      </c>
      <c r="O124" s="47">
        <f t="shared" si="76"/>
        <v>1675.5</v>
      </c>
      <c r="P124" s="47">
        <f t="shared" si="76"/>
        <v>3350</v>
      </c>
      <c r="Q124" s="47">
        <f t="shared" si="76"/>
        <v>0</v>
      </c>
      <c r="R124" s="47">
        <f t="shared" si="76"/>
        <v>1675.5</v>
      </c>
      <c r="S124" s="47">
        <f t="shared" si="76"/>
        <v>1675.5</v>
      </c>
      <c r="T124" s="47">
        <f t="shared" si="76"/>
        <v>1675.5</v>
      </c>
      <c r="U124" s="47">
        <f t="shared" si="76"/>
        <v>1675.5</v>
      </c>
      <c r="V124" s="47">
        <f t="shared" si="76"/>
        <v>1753</v>
      </c>
      <c r="W124" s="57">
        <f t="shared" si="54"/>
        <v>19880.5</v>
      </c>
      <c r="X124" s="48"/>
      <c r="Y124" s="49"/>
      <c r="Z124" s="50"/>
      <c r="AA124" s="30">
        <f>K124/4</f>
        <v>400</v>
      </c>
      <c r="AB124" s="30">
        <f>AA124*0.1</f>
        <v>40</v>
      </c>
      <c r="AC124" s="30"/>
      <c r="AD124">
        <v>48000</v>
      </c>
      <c r="AE124" s="30" t="e">
        <f>X124-AD124-#REF!</f>
        <v>#REF!</v>
      </c>
      <c r="AF124">
        <f>W124/12</f>
        <v>1656.7083333333333</v>
      </c>
    </row>
    <row r="125" spans="2:32" s="55" customFormat="1" ht="12.75">
      <c r="B125" s="52" t="s">
        <v>70</v>
      </c>
      <c r="C125" s="52"/>
      <c r="D125" s="52"/>
      <c r="E125" s="52"/>
      <c r="F125" s="53"/>
      <c r="G125" s="53"/>
      <c r="H125" s="53"/>
      <c r="I125" s="53"/>
      <c r="J125" s="53"/>
      <c r="K125" s="54">
        <f aca="true" t="shared" si="77" ref="K125:U125">ROUND(SUM(K106:K115)/10,0)*10</f>
        <v>32880</v>
      </c>
      <c r="L125" s="54">
        <f t="shared" si="77"/>
        <v>39210</v>
      </c>
      <c r="M125" s="54">
        <f t="shared" si="77"/>
        <v>35780</v>
      </c>
      <c r="N125" s="54">
        <f t="shared" si="77"/>
        <v>43760</v>
      </c>
      <c r="O125" s="54">
        <f t="shared" si="77"/>
        <v>44120</v>
      </c>
      <c r="P125" s="54">
        <f t="shared" si="77"/>
        <v>36440</v>
      </c>
      <c r="Q125" s="54">
        <f t="shared" si="77"/>
        <v>40840</v>
      </c>
      <c r="R125" s="54">
        <f t="shared" si="77"/>
        <v>52760</v>
      </c>
      <c r="S125" s="54">
        <f t="shared" si="77"/>
        <v>32570</v>
      </c>
      <c r="T125" s="54">
        <f t="shared" si="77"/>
        <v>40840</v>
      </c>
      <c r="U125" s="54">
        <f t="shared" si="77"/>
        <v>40840</v>
      </c>
      <c r="V125" s="54">
        <f>ROUNDDOWN(SUM(V106:V115)/10,0)*10</f>
        <v>42270</v>
      </c>
      <c r="W125" s="54">
        <f aca="true" t="shared" si="78" ref="W125:AB125">SUM(W106:W124)</f>
        <v>715033</v>
      </c>
      <c r="X125" s="54">
        <f t="shared" si="78"/>
        <v>0</v>
      </c>
      <c r="Y125" s="54">
        <f t="shared" si="78"/>
        <v>0</v>
      </c>
      <c r="Z125" s="54">
        <f t="shared" si="78"/>
        <v>0</v>
      </c>
      <c r="AA125" s="30">
        <f t="shared" si="78"/>
        <v>12278.25</v>
      </c>
      <c r="AB125" s="30">
        <f t="shared" si="78"/>
        <v>1693.475</v>
      </c>
      <c r="AC125" s="30"/>
      <c r="AD125" s="59">
        <f>SUM(AD106:AD124)</f>
        <v>709444.8</v>
      </c>
      <c r="AE125" s="59" t="e">
        <f>SUM(AE106:AE124)</f>
        <v>#REF!</v>
      </c>
      <c r="AF125" s="55">
        <v>41520</v>
      </c>
    </row>
    <row r="126" spans="11:22" ht="12.75"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2:22" ht="15.75">
      <c r="B127" s="62" t="s">
        <v>144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6" s="39" customFormat="1" ht="12" customHeight="1">
      <c r="A128" s="106" t="s">
        <v>62</v>
      </c>
      <c r="B128" s="106" t="s">
        <v>63</v>
      </c>
      <c r="C128" s="110" t="s">
        <v>64</v>
      </c>
      <c r="D128" s="110" t="s">
        <v>65</v>
      </c>
      <c r="E128" s="106" t="s">
        <v>66</v>
      </c>
      <c r="F128" s="112" t="s">
        <v>67</v>
      </c>
      <c r="G128" s="107" t="s">
        <v>111</v>
      </c>
      <c r="H128" s="108"/>
      <c r="I128" s="109"/>
      <c r="J128" s="106" t="s">
        <v>68</v>
      </c>
      <c r="K128" s="102" t="s">
        <v>124</v>
      </c>
      <c r="L128" s="102" t="s">
        <v>125</v>
      </c>
      <c r="M128" s="102" t="s">
        <v>126</v>
      </c>
      <c r="N128" s="102" t="s">
        <v>127</v>
      </c>
      <c r="O128" s="102" t="s">
        <v>128</v>
      </c>
      <c r="P128" s="102" t="s">
        <v>129</v>
      </c>
      <c r="Q128" s="102" t="s">
        <v>130</v>
      </c>
      <c r="R128" s="102" t="s">
        <v>131</v>
      </c>
      <c r="S128" s="102" t="s">
        <v>132</v>
      </c>
      <c r="T128" s="102" t="s">
        <v>133</v>
      </c>
      <c r="U128" s="102" t="s">
        <v>134</v>
      </c>
      <c r="V128" s="102" t="s">
        <v>69</v>
      </c>
      <c r="W128" s="104" t="s">
        <v>70</v>
      </c>
      <c r="X128" s="105">
        <v>1110</v>
      </c>
      <c r="Y128" s="105">
        <v>1120</v>
      </c>
      <c r="Z128" s="101" t="s">
        <v>71</v>
      </c>
    </row>
    <row r="129" spans="1:26" s="39" customFormat="1" ht="29.25" customHeight="1">
      <c r="A129" s="106"/>
      <c r="B129" s="106"/>
      <c r="C129" s="111"/>
      <c r="D129" s="111"/>
      <c r="E129" s="106"/>
      <c r="F129" s="113"/>
      <c r="G129" s="40" t="s">
        <v>112</v>
      </c>
      <c r="H129" s="40" t="s">
        <v>113</v>
      </c>
      <c r="I129" s="40" t="s">
        <v>114</v>
      </c>
      <c r="J129" s="106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4"/>
      <c r="X129" s="105"/>
      <c r="Y129" s="105"/>
      <c r="Z129" s="101"/>
    </row>
    <row r="130" spans="1:26" ht="12.75">
      <c r="A130" s="41"/>
      <c r="B130" s="42">
        <v>120300</v>
      </c>
      <c r="C130" s="42"/>
      <c r="D130" s="41"/>
      <c r="E130" s="41"/>
      <c r="F130" s="41"/>
      <c r="G130" s="41"/>
      <c r="H130" s="41"/>
      <c r="I130" s="41"/>
      <c r="J130" s="41"/>
      <c r="K130" s="47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3"/>
      <c r="X130" s="45"/>
      <c r="Y130" s="45"/>
      <c r="Z130" s="46"/>
    </row>
    <row r="131" spans="1:32" ht="12.75">
      <c r="A131" s="41">
        <v>1</v>
      </c>
      <c r="B131" s="41" t="s">
        <v>37</v>
      </c>
      <c r="C131" s="41"/>
      <c r="D131" s="41"/>
      <c r="E131" s="41"/>
      <c r="F131" s="41"/>
      <c r="G131" s="41"/>
      <c r="H131" s="41"/>
      <c r="I131" s="41"/>
      <c r="J131" s="41"/>
      <c r="K131" s="47"/>
      <c r="L131" s="47"/>
      <c r="M131" s="47"/>
      <c r="N131" s="47"/>
      <c r="O131" s="47"/>
      <c r="P131" s="47"/>
      <c r="Q131" s="47"/>
      <c r="R131" s="47"/>
      <c r="S131" s="47">
        <f>S6</f>
        <v>4075</v>
      </c>
      <c r="T131" s="47"/>
      <c r="U131" s="47"/>
      <c r="V131" s="47"/>
      <c r="W131" s="57">
        <f aca="true" t="shared" si="79" ref="W131:W149">SUM(K131:V131)</f>
        <v>4075</v>
      </c>
      <c r="X131" s="48">
        <f aca="true" t="shared" si="80" ref="X131:X144">SUM(W131:W131)</f>
        <v>4075</v>
      </c>
      <c r="Y131" s="49">
        <f aca="true" t="shared" si="81" ref="Y131:Y144">ROUND(X131*0.22,0)</f>
        <v>897</v>
      </c>
      <c r="Z131" s="50">
        <f aca="true" t="shared" si="82" ref="Z131:Z144">Y131+X131</f>
        <v>4972</v>
      </c>
      <c r="AA131" s="30">
        <f aca="true" t="shared" si="83" ref="AA131:AA144">K131/4</f>
        <v>0</v>
      </c>
      <c r="AB131" s="30">
        <f>AA131*0.3</f>
        <v>0</v>
      </c>
      <c r="AC131" s="30"/>
      <c r="AD131" s="60">
        <f>'[2]01.01.17(з мінім)'!$M$26</f>
        <v>60403.200000000004</v>
      </c>
      <c r="AE131" s="30" t="e">
        <f>X131-AD131-#REF!</f>
        <v>#REF!</v>
      </c>
      <c r="AF131">
        <f aca="true" t="shared" si="84" ref="AF131:AF144">W131/12</f>
        <v>339.5833333333333</v>
      </c>
    </row>
    <row r="132" spans="1:32" ht="12.75">
      <c r="A132" s="41">
        <f aca="true" t="shared" si="85" ref="A132:A146">A131+1</f>
        <v>2</v>
      </c>
      <c r="B132" s="51" t="s">
        <v>72</v>
      </c>
      <c r="C132" s="51" t="s">
        <v>73</v>
      </c>
      <c r="D132" s="41"/>
      <c r="E132" s="41"/>
      <c r="F132" s="41"/>
      <c r="G132" s="41"/>
      <c r="H132" s="41"/>
      <c r="I132" s="41"/>
      <c r="J132" s="41"/>
      <c r="K132" s="47"/>
      <c r="L132" s="47"/>
      <c r="M132" s="47"/>
      <c r="N132" s="47">
        <f>N7/2</f>
        <v>3485</v>
      </c>
      <c r="O132" s="47"/>
      <c r="P132" s="47"/>
      <c r="Q132" s="47"/>
      <c r="R132" s="47"/>
      <c r="S132" s="47"/>
      <c r="T132" s="47"/>
      <c r="U132" s="47"/>
      <c r="V132" s="47"/>
      <c r="W132" s="57">
        <f t="shared" si="79"/>
        <v>3485</v>
      </c>
      <c r="X132" s="48">
        <f t="shared" si="80"/>
        <v>3485</v>
      </c>
      <c r="Y132" s="49">
        <f t="shared" si="81"/>
        <v>767</v>
      </c>
      <c r="Z132" s="50">
        <f t="shared" si="82"/>
        <v>4252</v>
      </c>
      <c r="AA132" s="30">
        <f t="shared" si="83"/>
        <v>0</v>
      </c>
      <c r="AB132" s="30">
        <f>AA132*0.3</f>
        <v>0</v>
      </c>
      <c r="AC132" s="30"/>
      <c r="AD132" s="60">
        <f>'[2]01.01.17(з мінім)'!$M$27</f>
        <v>54366</v>
      </c>
      <c r="AE132" s="30" t="e">
        <f>X132-AD132-#REF!</f>
        <v>#REF!</v>
      </c>
      <c r="AF132">
        <f t="shared" si="84"/>
        <v>290.4166666666667</v>
      </c>
    </row>
    <row r="133" spans="1:32" ht="12.75">
      <c r="A133" s="41">
        <f t="shared" si="85"/>
        <v>3</v>
      </c>
      <c r="B133" s="41" t="s">
        <v>75</v>
      </c>
      <c r="C133" s="41" t="s">
        <v>76</v>
      </c>
      <c r="D133" s="41"/>
      <c r="E133" s="41"/>
      <c r="F133" s="41"/>
      <c r="G133" s="41"/>
      <c r="H133" s="41"/>
      <c r="I133" s="41"/>
      <c r="J133" s="41"/>
      <c r="K133" s="47"/>
      <c r="L133" s="47"/>
      <c r="M133" s="47"/>
      <c r="N133" s="47"/>
      <c r="O133" s="47"/>
      <c r="P133" s="47"/>
      <c r="Q133" s="47"/>
      <c r="R133" s="47">
        <f>R8/2</f>
        <v>3871</v>
      </c>
      <c r="S133" s="47"/>
      <c r="T133" s="47"/>
      <c r="U133" s="47"/>
      <c r="V133" s="47"/>
      <c r="W133" s="57">
        <f t="shared" si="79"/>
        <v>3871</v>
      </c>
      <c r="X133" s="48">
        <f t="shared" si="80"/>
        <v>3871</v>
      </c>
      <c r="Y133" s="49">
        <f t="shared" si="81"/>
        <v>852</v>
      </c>
      <c r="Z133" s="50">
        <f t="shared" si="82"/>
        <v>4723</v>
      </c>
      <c r="AA133" s="30">
        <f t="shared" si="83"/>
        <v>0</v>
      </c>
      <c r="AB133" s="30">
        <f>AA133*0.3</f>
        <v>0</v>
      </c>
      <c r="AC133" s="30"/>
      <c r="AD133" s="61">
        <v>57376.8</v>
      </c>
      <c r="AE133" s="30" t="e">
        <f>X133-AD133-#REF!</f>
        <v>#REF!</v>
      </c>
      <c r="AF133">
        <f t="shared" si="84"/>
        <v>322.5833333333333</v>
      </c>
    </row>
    <row r="134" spans="1:32" ht="12.75">
      <c r="A134" s="41">
        <f t="shared" si="85"/>
        <v>4</v>
      </c>
      <c r="B134" s="41" t="s">
        <v>77</v>
      </c>
      <c r="C134" s="41" t="s">
        <v>78</v>
      </c>
      <c r="D134" s="41"/>
      <c r="E134" s="41"/>
      <c r="F134" s="41"/>
      <c r="G134" s="41"/>
      <c r="H134" s="41"/>
      <c r="I134" s="41"/>
      <c r="J134" s="41"/>
      <c r="K134" s="47"/>
      <c r="L134" s="47"/>
      <c r="M134" s="47"/>
      <c r="N134" s="47"/>
      <c r="O134" s="47"/>
      <c r="P134" s="47">
        <f>P9/2</f>
        <v>3317</v>
      </c>
      <c r="Q134" s="47"/>
      <c r="R134" s="47"/>
      <c r="S134" s="47"/>
      <c r="T134" s="47"/>
      <c r="U134" s="47"/>
      <c r="V134" s="47"/>
      <c r="W134" s="57">
        <f t="shared" si="79"/>
        <v>3317</v>
      </c>
      <c r="X134" s="48">
        <f t="shared" si="80"/>
        <v>3317</v>
      </c>
      <c r="Y134" s="49">
        <f t="shared" si="81"/>
        <v>730</v>
      </c>
      <c r="Z134" s="50">
        <f t="shared" si="82"/>
        <v>4047</v>
      </c>
      <c r="AA134" s="30">
        <f t="shared" si="83"/>
        <v>0</v>
      </c>
      <c r="AB134" s="30">
        <f aca="true" t="shared" si="86" ref="AB134:AB140">AA134*0.1</f>
        <v>0</v>
      </c>
      <c r="AC134" s="30"/>
      <c r="AD134" s="30">
        <f>'[2]01.01.17(з мінім)'!$M$30</f>
        <v>42240</v>
      </c>
      <c r="AE134" s="30" t="e">
        <f>X134-AD134-#REF!</f>
        <v>#REF!</v>
      </c>
      <c r="AF134">
        <f t="shared" si="84"/>
        <v>276.4166666666667</v>
      </c>
    </row>
    <row r="135" spans="1:32" ht="12.75">
      <c r="A135" s="41">
        <f t="shared" si="85"/>
        <v>5</v>
      </c>
      <c r="B135" s="41" t="s">
        <v>77</v>
      </c>
      <c r="C135" s="41" t="s">
        <v>79</v>
      </c>
      <c r="D135" s="41"/>
      <c r="E135" s="41"/>
      <c r="F135" s="41"/>
      <c r="G135" s="41"/>
      <c r="H135" s="41"/>
      <c r="I135" s="41"/>
      <c r="J135" s="41"/>
      <c r="K135" s="47"/>
      <c r="L135" s="47"/>
      <c r="M135" s="47"/>
      <c r="N135" s="47"/>
      <c r="O135" s="47"/>
      <c r="P135" s="47"/>
      <c r="Q135" s="47">
        <f>Q10/2</f>
        <v>3317</v>
      </c>
      <c r="R135" s="47"/>
      <c r="S135" s="47"/>
      <c r="T135" s="47"/>
      <c r="U135" s="47"/>
      <c r="V135" s="47"/>
      <c r="W135" s="57">
        <f t="shared" si="79"/>
        <v>3317</v>
      </c>
      <c r="X135" s="48">
        <f t="shared" si="80"/>
        <v>3317</v>
      </c>
      <c r="Y135" s="49">
        <f t="shared" si="81"/>
        <v>730</v>
      </c>
      <c r="Z135" s="50">
        <f t="shared" si="82"/>
        <v>4047</v>
      </c>
      <c r="AA135" s="30">
        <f t="shared" si="83"/>
        <v>0</v>
      </c>
      <c r="AB135" s="30">
        <f t="shared" si="86"/>
        <v>0</v>
      </c>
      <c r="AC135" s="30"/>
      <c r="AD135" s="30">
        <f>AD134</f>
        <v>42240</v>
      </c>
      <c r="AE135" s="30" t="e">
        <f>X135-AD135-#REF!</f>
        <v>#REF!</v>
      </c>
      <c r="AF135">
        <f t="shared" si="84"/>
        <v>276.4166666666667</v>
      </c>
    </row>
    <row r="136" spans="1:32" ht="12.75">
      <c r="A136" s="41">
        <f t="shared" si="85"/>
        <v>6</v>
      </c>
      <c r="B136" s="41" t="s">
        <v>80</v>
      </c>
      <c r="C136" s="41" t="s">
        <v>81</v>
      </c>
      <c r="D136" s="41"/>
      <c r="E136" s="41"/>
      <c r="F136" s="41"/>
      <c r="G136" s="41"/>
      <c r="H136" s="41"/>
      <c r="I136" s="41"/>
      <c r="J136" s="41"/>
      <c r="K136" s="47"/>
      <c r="L136" s="47"/>
      <c r="M136" s="47"/>
      <c r="N136" s="47"/>
      <c r="O136" s="47"/>
      <c r="P136" s="47"/>
      <c r="Q136" s="47"/>
      <c r="R136" s="47">
        <f>R11/2</f>
        <v>2593</v>
      </c>
      <c r="S136" s="47"/>
      <c r="T136" s="47"/>
      <c r="U136" s="47"/>
      <c r="V136" s="47"/>
      <c r="W136" s="57">
        <f t="shared" si="79"/>
        <v>2593</v>
      </c>
      <c r="X136" s="48">
        <f t="shared" si="80"/>
        <v>2593</v>
      </c>
      <c r="Y136" s="49">
        <f t="shared" si="81"/>
        <v>570</v>
      </c>
      <c r="Z136" s="50">
        <f t="shared" si="82"/>
        <v>3163</v>
      </c>
      <c r="AA136" s="30">
        <f t="shared" si="83"/>
        <v>0</v>
      </c>
      <c r="AB136" s="30">
        <f t="shared" si="86"/>
        <v>0</v>
      </c>
      <c r="AC136" s="30"/>
      <c r="AD136" s="30">
        <f>AD135</f>
        <v>42240</v>
      </c>
      <c r="AE136" s="30" t="e">
        <f>X136-AD136-#REF!</f>
        <v>#REF!</v>
      </c>
      <c r="AF136">
        <f t="shared" si="84"/>
        <v>216.08333333333334</v>
      </c>
    </row>
    <row r="137" spans="1:32" ht="12.75">
      <c r="A137" s="41">
        <f t="shared" si="85"/>
        <v>7</v>
      </c>
      <c r="B137" s="41" t="s">
        <v>80</v>
      </c>
      <c r="C137" s="41" t="s">
        <v>82</v>
      </c>
      <c r="D137" s="41"/>
      <c r="E137" s="41"/>
      <c r="F137" s="41"/>
      <c r="G137" s="41"/>
      <c r="H137" s="41"/>
      <c r="I137" s="41"/>
      <c r="J137" s="41"/>
      <c r="K137" s="47"/>
      <c r="L137" s="47">
        <f>L12/2</f>
        <v>2464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57">
        <f t="shared" si="79"/>
        <v>2464</v>
      </c>
      <c r="X137" s="48">
        <f t="shared" si="80"/>
        <v>2464</v>
      </c>
      <c r="Y137" s="49">
        <f t="shared" si="81"/>
        <v>542</v>
      </c>
      <c r="Z137" s="50">
        <f t="shared" si="82"/>
        <v>3006</v>
      </c>
      <c r="AA137" s="30">
        <f t="shared" si="83"/>
        <v>0</v>
      </c>
      <c r="AB137" s="30">
        <f t="shared" si="86"/>
        <v>0</v>
      </c>
      <c r="AC137" s="30"/>
      <c r="AD137">
        <v>48000</v>
      </c>
      <c r="AE137" s="30" t="e">
        <f>X137-AD137-#REF!</f>
        <v>#REF!</v>
      </c>
      <c r="AF137">
        <f t="shared" si="84"/>
        <v>205.33333333333334</v>
      </c>
    </row>
    <row r="138" spans="1:32" ht="12.75">
      <c r="A138" s="41">
        <f t="shared" si="85"/>
        <v>8</v>
      </c>
      <c r="B138" s="41" t="s">
        <v>83</v>
      </c>
      <c r="C138" s="41" t="s">
        <v>143</v>
      </c>
      <c r="D138" s="41"/>
      <c r="E138" s="41"/>
      <c r="F138" s="41"/>
      <c r="G138" s="41"/>
      <c r="H138" s="41"/>
      <c r="I138" s="41"/>
      <c r="J138" s="41"/>
      <c r="K138" s="47"/>
      <c r="L138" s="47"/>
      <c r="M138" s="47"/>
      <c r="N138" s="47"/>
      <c r="O138" s="47">
        <f>O13/2</f>
        <v>3668</v>
      </c>
      <c r="P138" s="47"/>
      <c r="Q138" s="47"/>
      <c r="R138" s="47"/>
      <c r="S138" s="47"/>
      <c r="T138" s="47"/>
      <c r="U138" s="47"/>
      <c r="V138" s="47"/>
      <c r="W138" s="57">
        <f t="shared" si="79"/>
        <v>3668</v>
      </c>
      <c r="X138" s="48">
        <f t="shared" si="80"/>
        <v>3668</v>
      </c>
      <c r="Y138" s="49">
        <f t="shared" si="81"/>
        <v>807</v>
      </c>
      <c r="Z138" s="50">
        <f t="shared" si="82"/>
        <v>4475</v>
      </c>
      <c r="AA138" s="30">
        <f t="shared" si="83"/>
        <v>0</v>
      </c>
      <c r="AB138" s="30">
        <f t="shared" si="86"/>
        <v>0</v>
      </c>
      <c r="AC138" s="30"/>
      <c r="AD138">
        <v>46002</v>
      </c>
      <c r="AE138" s="30" t="e">
        <f>X138-AD138-#REF!</f>
        <v>#REF!</v>
      </c>
      <c r="AF138">
        <f t="shared" si="84"/>
        <v>305.6666666666667</v>
      </c>
    </row>
    <row r="139" spans="1:32" ht="12.75">
      <c r="A139" s="41">
        <f t="shared" si="85"/>
        <v>9</v>
      </c>
      <c r="B139" s="41" t="s">
        <v>77</v>
      </c>
      <c r="C139" s="41" t="s">
        <v>84</v>
      </c>
      <c r="D139" s="41"/>
      <c r="E139" s="41"/>
      <c r="F139" s="41"/>
      <c r="G139" s="41"/>
      <c r="H139" s="41"/>
      <c r="I139" s="41"/>
      <c r="J139" s="41"/>
      <c r="K139" s="47">
        <f>K14/2</f>
        <v>3152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57">
        <f t="shared" si="79"/>
        <v>3152</v>
      </c>
      <c r="X139" s="48">
        <f t="shared" si="80"/>
        <v>3152</v>
      </c>
      <c r="Y139" s="49">
        <f t="shared" si="81"/>
        <v>693</v>
      </c>
      <c r="Z139" s="50">
        <f t="shared" si="82"/>
        <v>3845</v>
      </c>
      <c r="AA139" s="30">
        <f t="shared" si="83"/>
        <v>788</v>
      </c>
      <c r="AB139" s="30">
        <f t="shared" si="86"/>
        <v>78.80000000000001</v>
      </c>
      <c r="AC139" s="30"/>
      <c r="AD139" s="30">
        <f>AD136</f>
        <v>42240</v>
      </c>
      <c r="AE139" s="30" t="e">
        <f>X139-AD139-#REF!</f>
        <v>#REF!</v>
      </c>
      <c r="AF139">
        <f t="shared" si="84"/>
        <v>262.6666666666667</v>
      </c>
    </row>
    <row r="140" spans="1:32" ht="12.75">
      <c r="A140" s="41">
        <f t="shared" si="85"/>
        <v>10</v>
      </c>
      <c r="B140" s="41" t="s">
        <v>77</v>
      </c>
      <c r="C140" s="41" t="s">
        <v>85</v>
      </c>
      <c r="D140" s="41"/>
      <c r="E140" s="41"/>
      <c r="F140" s="41"/>
      <c r="G140" s="41"/>
      <c r="H140" s="41"/>
      <c r="I140" s="41"/>
      <c r="J140" s="41"/>
      <c r="K140" s="47"/>
      <c r="L140" s="47"/>
      <c r="M140" s="47"/>
      <c r="N140" s="47"/>
      <c r="O140" s="47">
        <f>O15/2</f>
        <v>3317</v>
      </c>
      <c r="P140" s="47"/>
      <c r="Q140" s="47"/>
      <c r="R140" s="47"/>
      <c r="S140" s="47"/>
      <c r="T140" s="47"/>
      <c r="U140" s="47"/>
      <c r="V140" s="47"/>
      <c r="W140" s="57">
        <f t="shared" si="79"/>
        <v>3317</v>
      </c>
      <c r="X140" s="48">
        <f t="shared" si="80"/>
        <v>3317</v>
      </c>
      <c r="Y140" s="49">
        <f t="shared" si="81"/>
        <v>730</v>
      </c>
      <c r="Z140" s="50">
        <f t="shared" si="82"/>
        <v>4047</v>
      </c>
      <c r="AA140" s="30">
        <f t="shared" si="83"/>
        <v>0</v>
      </c>
      <c r="AB140" s="30">
        <f t="shared" si="86"/>
        <v>0</v>
      </c>
      <c r="AC140" s="30"/>
      <c r="AD140" s="30">
        <f>AD139</f>
        <v>42240</v>
      </c>
      <c r="AE140" s="30" t="e">
        <f>X140-AD140-#REF!</f>
        <v>#REF!</v>
      </c>
      <c r="AF140">
        <f t="shared" si="84"/>
        <v>276.4166666666667</v>
      </c>
    </row>
    <row r="141" spans="1:32" ht="12.75">
      <c r="A141" s="41">
        <f t="shared" si="85"/>
        <v>11</v>
      </c>
      <c r="B141" s="41" t="s">
        <v>75</v>
      </c>
      <c r="C141" s="41" t="s">
        <v>116</v>
      </c>
      <c r="D141" s="41"/>
      <c r="E141" s="41"/>
      <c r="F141" s="41"/>
      <c r="G141" s="41"/>
      <c r="H141" s="41"/>
      <c r="I141" s="41"/>
      <c r="J141" s="41"/>
      <c r="K141" s="47"/>
      <c r="L141" s="47"/>
      <c r="M141" s="47"/>
      <c r="N141" s="47"/>
      <c r="O141" s="47"/>
      <c r="P141" s="47"/>
      <c r="Q141" s="47">
        <f>Q16/2</f>
        <v>3871</v>
      </c>
      <c r="R141" s="47"/>
      <c r="S141" s="47"/>
      <c r="T141" s="47"/>
      <c r="U141" s="47"/>
      <c r="V141" s="47"/>
      <c r="W141" s="57">
        <f t="shared" si="79"/>
        <v>3871</v>
      </c>
      <c r="X141" s="48">
        <f t="shared" si="80"/>
        <v>3871</v>
      </c>
      <c r="Y141" s="49">
        <f t="shared" si="81"/>
        <v>852</v>
      </c>
      <c r="Z141" s="50">
        <f t="shared" si="82"/>
        <v>4723</v>
      </c>
      <c r="AA141" s="30">
        <f t="shared" si="83"/>
        <v>0</v>
      </c>
      <c r="AB141" s="30">
        <f>AA141*0.3</f>
        <v>0</v>
      </c>
      <c r="AC141" s="30"/>
      <c r="AD141" s="61">
        <v>57376.8</v>
      </c>
      <c r="AE141" s="30" t="e">
        <f>X141-AD141-#REF!</f>
        <v>#REF!</v>
      </c>
      <c r="AF141">
        <f t="shared" si="84"/>
        <v>322.5833333333333</v>
      </c>
    </row>
    <row r="142" spans="1:32" ht="12.75">
      <c r="A142" s="41">
        <f t="shared" si="85"/>
        <v>12</v>
      </c>
      <c r="B142" s="41" t="s">
        <v>77</v>
      </c>
      <c r="C142" s="41" t="s">
        <v>117</v>
      </c>
      <c r="D142" s="41"/>
      <c r="E142" s="41"/>
      <c r="F142" s="41"/>
      <c r="G142" s="41"/>
      <c r="H142" s="41"/>
      <c r="I142" s="41"/>
      <c r="J142" s="41"/>
      <c r="K142" s="47"/>
      <c r="L142" s="47"/>
      <c r="M142" s="47"/>
      <c r="N142" s="47"/>
      <c r="O142" s="47"/>
      <c r="P142" s="47"/>
      <c r="Q142" s="47"/>
      <c r="R142" s="47"/>
      <c r="S142" s="47">
        <f>S17/2</f>
        <v>3317</v>
      </c>
      <c r="T142" s="47"/>
      <c r="U142" s="47"/>
      <c r="V142" s="47"/>
      <c r="W142" s="57">
        <f t="shared" si="79"/>
        <v>3317</v>
      </c>
      <c r="X142" s="48">
        <f t="shared" si="80"/>
        <v>3317</v>
      </c>
      <c r="Y142" s="49">
        <f t="shared" si="81"/>
        <v>730</v>
      </c>
      <c r="Z142" s="50">
        <f t="shared" si="82"/>
        <v>4047</v>
      </c>
      <c r="AA142" s="30">
        <f t="shared" si="83"/>
        <v>0</v>
      </c>
      <c r="AB142" s="30">
        <f>AA142*0.1</f>
        <v>0</v>
      </c>
      <c r="AC142" s="30"/>
      <c r="AD142" s="30">
        <f>AD140</f>
        <v>42240</v>
      </c>
      <c r="AE142" s="30" t="e">
        <f>X142-AD142-#REF!</f>
        <v>#REF!</v>
      </c>
      <c r="AF142">
        <f t="shared" si="84"/>
        <v>276.4166666666667</v>
      </c>
    </row>
    <row r="143" spans="1:32" ht="12.75">
      <c r="A143" s="41">
        <f t="shared" si="85"/>
        <v>13</v>
      </c>
      <c r="B143" s="41" t="s">
        <v>77</v>
      </c>
      <c r="C143" s="41" t="s">
        <v>118</v>
      </c>
      <c r="D143" s="41"/>
      <c r="E143" s="41"/>
      <c r="F143" s="41"/>
      <c r="G143" s="41"/>
      <c r="H143" s="41"/>
      <c r="I143" s="41"/>
      <c r="J143" s="41"/>
      <c r="K143" s="47"/>
      <c r="L143" s="47"/>
      <c r="M143" s="47">
        <f>M18/2</f>
        <v>3152</v>
      </c>
      <c r="N143" s="47"/>
      <c r="O143" s="47"/>
      <c r="P143" s="47"/>
      <c r="Q143" s="47"/>
      <c r="R143" s="47"/>
      <c r="S143" s="47"/>
      <c r="T143" s="47"/>
      <c r="U143" s="47"/>
      <c r="V143" s="47"/>
      <c r="W143" s="57">
        <f t="shared" si="79"/>
        <v>3152</v>
      </c>
      <c r="X143" s="48">
        <f t="shared" si="80"/>
        <v>3152</v>
      </c>
      <c r="Y143" s="49">
        <f t="shared" si="81"/>
        <v>693</v>
      </c>
      <c r="Z143" s="50">
        <f t="shared" si="82"/>
        <v>3845</v>
      </c>
      <c r="AA143" s="30">
        <f t="shared" si="83"/>
        <v>0</v>
      </c>
      <c r="AB143" s="30">
        <f>AA143*0.1</f>
        <v>0</v>
      </c>
      <c r="AC143" s="30"/>
      <c r="AD143" s="30">
        <f>AD142</f>
        <v>42240</v>
      </c>
      <c r="AE143" s="30" t="e">
        <f>X143-AD143-#REF!</f>
        <v>#REF!</v>
      </c>
      <c r="AF143">
        <f t="shared" si="84"/>
        <v>262.6666666666667</v>
      </c>
    </row>
    <row r="144" spans="1:32" ht="12.75">
      <c r="A144" s="41">
        <f t="shared" si="85"/>
        <v>14</v>
      </c>
      <c r="B144" s="41" t="s">
        <v>77</v>
      </c>
      <c r="C144" s="41" t="s">
        <v>119</v>
      </c>
      <c r="D144" s="41"/>
      <c r="E144" s="41"/>
      <c r="F144" s="41"/>
      <c r="G144" s="41"/>
      <c r="H144" s="41"/>
      <c r="I144" s="41"/>
      <c r="J144" s="41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57">
        <f t="shared" si="79"/>
        <v>0</v>
      </c>
      <c r="X144" s="48">
        <f t="shared" si="80"/>
        <v>0</v>
      </c>
      <c r="Y144" s="49">
        <f t="shared" si="81"/>
        <v>0</v>
      </c>
      <c r="Z144" s="50">
        <f t="shared" si="82"/>
        <v>0</v>
      </c>
      <c r="AA144" s="30">
        <f t="shared" si="83"/>
        <v>0</v>
      </c>
      <c r="AB144" s="30">
        <f>AA144*0.1</f>
        <v>0</v>
      </c>
      <c r="AC144" s="30"/>
      <c r="AD144" s="30">
        <f>AD143</f>
        <v>42240</v>
      </c>
      <c r="AE144" s="30" t="e">
        <f>X144-AD144-#REF!</f>
        <v>#REF!</v>
      </c>
      <c r="AF144">
        <f t="shared" si="84"/>
        <v>0</v>
      </c>
    </row>
    <row r="145" spans="1:31" ht="12.75">
      <c r="A145" s="41">
        <f t="shared" si="85"/>
        <v>15</v>
      </c>
      <c r="B145" s="41" t="s">
        <v>77</v>
      </c>
      <c r="C145" s="41" t="s">
        <v>136</v>
      </c>
      <c r="D145" s="41"/>
      <c r="E145" s="41"/>
      <c r="F145" s="41"/>
      <c r="G145" s="41"/>
      <c r="H145" s="41"/>
      <c r="I145" s="41"/>
      <c r="J145" s="41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57">
        <f t="shared" si="79"/>
        <v>0</v>
      </c>
      <c r="X145" s="48"/>
      <c r="Y145" s="49"/>
      <c r="Z145" s="50"/>
      <c r="AA145" s="30"/>
      <c r="AB145" s="30"/>
      <c r="AC145" s="30"/>
      <c r="AD145" s="30"/>
      <c r="AE145" s="30"/>
    </row>
    <row r="146" spans="1:31" ht="12.75">
      <c r="A146" s="41">
        <f t="shared" si="85"/>
        <v>16</v>
      </c>
      <c r="B146" s="41" t="s">
        <v>77</v>
      </c>
      <c r="C146" s="41" t="s">
        <v>137</v>
      </c>
      <c r="D146" s="41"/>
      <c r="E146" s="41"/>
      <c r="F146" s="41"/>
      <c r="G146" s="41"/>
      <c r="H146" s="41"/>
      <c r="I146" s="41"/>
      <c r="J146" s="41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57">
        <f t="shared" si="79"/>
        <v>0</v>
      </c>
      <c r="X146" s="48"/>
      <c r="Y146" s="49"/>
      <c r="Z146" s="50"/>
      <c r="AA146" s="30"/>
      <c r="AB146" s="30"/>
      <c r="AC146" s="30"/>
      <c r="AD146" s="30"/>
      <c r="AE146" s="30"/>
    </row>
    <row r="147" spans="1:31" ht="12.75">
      <c r="A147" s="41">
        <v>17</v>
      </c>
      <c r="B147" s="41" t="s">
        <v>77</v>
      </c>
      <c r="C147" s="41" t="s">
        <v>142</v>
      </c>
      <c r="D147" s="41"/>
      <c r="E147" s="41"/>
      <c r="F147" s="41"/>
      <c r="G147" s="41"/>
      <c r="H147" s="41"/>
      <c r="I147" s="41"/>
      <c r="J147" s="41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57">
        <f t="shared" si="79"/>
        <v>0</v>
      </c>
      <c r="X147" s="48"/>
      <c r="Y147" s="49"/>
      <c r="Z147" s="50"/>
      <c r="AA147" s="30"/>
      <c r="AB147" s="30"/>
      <c r="AC147" s="30"/>
      <c r="AD147" s="30"/>
      <c r="AE147" s="30"/>
    </row>
    <row r="148" spans="1:31" ht="12.75">
      <c r="A148" s="41">
        <f>A146+1</f>
        <v>17</v>
      </c>
      <c r="B148" s="41" t="s">
        <v>120</v>
      </c>
      <c r="C148" s="41" t="s">
        <v>138</v>
      </c>
      <c r="D148" s="41"/>
      <c r="E148" s="41"/>
      <c r="F148" s="41"/>
      <c r="G148" s="41"/>
      <c r="H148" s="41"/>
      <c r="I148" s="41"/>
      <c r="J148" s="41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57">
        <f t="shared" si="79"/>
        <v>0</v>
      </c>
      <c r="X148" s="48"/>
      <c r="Y148" s="49"/>
      <c r="Z148" s="50"/>
      <c r="AA148" s="30"/>
      <c r="AB148" s="30"/>
      <c r="AC148" s="30"/>
      <c r="AD148" s="30"/>
      <c r="AE148" s="30"/>
    </row>
    <row r="149" spans="1:32" ht="12.75">
      <c r="A149" s="41">
        <f>A148+1</f>
        <v>18</v>
      </c>
      <c r="B149" s="41" t="s">
        <v>120</v>
      </c>
      <c r="C149" s="41" t="s">
        <v>121</v>
      </c>
      <c r="D149" s="41"/>
      <c r="E149" s="41"/>
      <c r="F149" s="41"/>
      <c r="G149" s="41"/>
      <c r="H149" s="41"/>
      <c r="I149" s="41"/>
      <c r="J149" s="41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57">
        <f t="shared" si="79"/>
        <v>0</v>
      </c>
      <c r="X149" s="48">
        <f>SUM(W149:W149)</f>
        <v>0</v>
      </c>
      <c r="Y149" s="49">
        <f>ROUND(X149*0.22,0)</f>
        <v>0</v>
      </c>
      <c r="Z149" s="50">
        <f>Y149+X149</f>
        <v>0</v>
      </c>
      <c r="AA149" s="30">
        <f>K149/4</f>
        <v>0</v>
      </c>
      <c r="AB149" s="30">
        <f>AA149*0.1</f>
        <v>0</v>
      </c>
      <c r="AC149" s="30"/>
      <c r="AD149">
        <v>48000</v>
      </c>
      <c r="AE149" s="30" t="e">
        <f>X149-AD149-#REF!</f>
        <v>#REF!</v>
      </c>
      <c r="AF149">
        <f>W149/12</f>
        <v>0</v>
      </c>
    </row>
    <row r="150" spans="2:32" s="55" customFormat="1" ht="12.75">
      <c r="B150" s="52" t="s">
        <v>70</v>
      </c>
      <c r="C150" s="52"/>
      <c r="D150" s="52"/>
      <c r="E150" s="52"/>
      <c r="F150" s="53"/>
      <c r="G150" s="53"/>
      <c r="H150" s="53"/>
      <c r="I150" s="53"/>
      <c r="J150" s="53"/>
      <c r="K150" s="54">
        <f aca="true" t="shared" si="87" ref="K150:U150">ROUND(SUM(K131:K140)/10,0)*10</f>
        <v>3150</v>
      </c>
      <c r="L150" s="54">
        <f t="shared" si="87"/>
        <v>2460</v>
      </c>
      <c r="M150" s="54">
        <f t="shared" si="87"/>
        <v>0</v>
      </c>
      <c r="N150" s="54">
        <f t="shared" si="87"/>
        <v>3490</v>
      </c>
      <c r="O150" s="54">
        <f t="shared" si="87"/>
        <v>6990</v>
      </c>
      <c r="P150" s="54">
        <f t="shared" si="87"/>
        <v>3320</v>
      </c>
      <c r="Q150" s="54">
        <f t="shared" si="87"/>
        <v>3320</v>
      </c>
      <c r="R150" s="54">
        <f t="shared" si="87"/>
        <v>6460</v>
      </c>
      <c r="S150" s="54">
        <f t="shared" si="87"/>
        <v>4080</v>
      </c>
      <c r="T150" s="54">
        <f t="shared" si="87"/>
        <v>0</v>
      </c>
      <c r="U150" s="54">
        <f t="shared" si="87"/>
        <v>0</v>
      </c>
      <c r="V150" s="54">
        <f>ROUNDDOWN(SUM(V131:V140)/10,0)*10</f>
        <v>0</v>
      </c>
      <c r="W150" s="54">
        <f aca="true" t="shared" si="88" ref="W150:AB150">SUM(W131:W149)</f>
        <v>43599</v>
      </c>
      <c r="X150" s="54">
        <f t="shared" si="88"/>
        <v>43599</v>
      </c>
      <c r="Y150" s="54">
        <f t="shared" si="88"/>
        <v>9593</v>
      </c>
      <c r="Z150" s="54">
        <f t="shared" si="88"/>
        <v>53192</v>
      </c>
      <c r="AA150" s="30">
        <f t="shared" si="88"/>
        <v>788</v>
      </c>
      <c r="AB150" s="30">
        <f t="shared" si="88"/>
        <v>78.80000000000001</v>
      </c>
      <c r="AC150" s="30"/>
      <c r="AD150" s="59">
        <f>SUM(AD131:AD149)</f>
        <v>709444.8</v>
      </c>
      <c r="AE150" s="59" t="e">
        <f>SUM(AE131:AE149)</f>
        <v>#REF!</v>
      </c>
      <c r="AF150" s="55">
        <v>41520</v>
      </c>
    </row>
    <row r="151" spans="11:23" ht="12.75"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W151" s="58">
        <f>W150+W125</f>
        <v>758632</v>
      </c>
    </row>
    <row r="152" spans="2:22" ht="15.75">
      <c r="B152" s="62" t="s">
        <v>70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6" s="39" customFormat="1" ht="12" customHeight="1">
      <c r="A153" s="106" t="s">
        <v>62</v>
      </c>
      <c r="B153" s="106" t="s">
        <v>63</v>
      </c>
      <c r="C153" s="110" t="s">
        <v>64</v>
      </c>
      <c r="D153" s="110" t="s">
        <v>65</v>
      </c>
      <c r="E153" s="106" t="s">
        <v>66</v>
      </c>
      <c r="F153" s="112" t="s">
        <v>67</v>
      </c>
      <c r="G153" s="107" t="s">
        <v>111</v>
      </c>
      <c r="H153" s="108"/>
      <c r="I153" s="109"/>
      <c r="J153" s="106" t="s">
        <v>68</v>
      </c>
      <c r="K153" s="102" t="s">
        <v>124</v>
      </c>
      <c r="L153" s="102" t="s">
        <v>125</v>
      </c>
      <c r="M153" s="102" t="s">
        <v>126</v>
      </c>
      <c r="N153" s="102" t="s">
        <v>127</v>
      </c>
      <c r="O153" s="102" t="s">
        <v>128</v>
      </c>
      <c r="P153" s="102" t="s">
        <v>129</v>
      </c>
      <c r="Q153" s="102" t="s">
        <v>130</v>
      </c>
      <c r="R153" s="102" t="s">
        <v>131</v>
      </c>
      <c r="S153" s="102" t="s">
        <v>132</v>
      </c>
      <c r="T153" s="102" t="s">
        <v>133</v>
      </c>
      <c r="U153" s="102" t="s">
        <v>134</v>
      </c>
      <c r="V153" s="102" t="s">
        <v>69</v>
      </c>
      <c r="W153" s="104" t="s">
        <v>70</v>
      </c>
      <c r="X153" s="105">
        <v>1110</v>
      </c>
      <c r="Y153" s="105">
        <v>1120</v>
      </c>
      <c r="Z153" s="101" t="s">
        <v>71</v>
      </c>
    </row>
    <row r="154" spans="1:26" s="39" customFormat="1" ht="29.25" customHeight="1">
      <c r="A154" s="106"/>
      <c r="B154" s="106"/>
      <c r="C154" s="111"/>
      <c r="D154" s="111"/>
      <c r="E154" s="106"/>
      <c r="F154" s="113"/>
      <c r="G154" s="40" t="s">
        <v>112</v>
      </c>
      <c r="H154" s="40" t="s">
        <v>113</v>
      </c>
      <c r="I154" s="40" t="s">
        <v>114</v>
      </c>
      <c r="J154" s="106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4"/>
      <c r="X154" s="105"/>
      <c r="Y154" s="105"/>
      <c r="Z154" s="101"/>
    </row>
    <row r="155" spans="1:26" ht="12.75">
      <c r="A155" s="41"/>
      <c r="B155" s="42">
        <v>120300</v>
      </c>
      <c r="C155" s="42"/>
      <c r="D155" s="41"/>
      <c r="E155" s="41"/>
      <c r="F155" s="41"/>
      <c r="G155" s="41"/>
      <c r="H155" s="41"/>
      <c r="I155" s="41"/>
      <c r="J155" s="41"/>
      <c r="K155" s="47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3"/>
      <c r="X155" s="45"/>
      <c r="Y155" s="45"/>
      <c r="Z155" s="46"/>
    </row>
    <row r="156" spans="1:32" ht="12.75">
      <c r="A156" s="41">
        <v>1</v>
      </c>
      <c r="B156" s="41" t="s">
        <v>37</v>
      </c>
      <c r="C156" s="41"/>
      <c r="D156" s="41"/>
      <c r="E156" s="41"/>
      <c r="F156" s="41"/>
      <c r="G156" s="41"/>
      <c r="H156" s="41"/>
      <c r="I156" s="41"/>
      <c r="J156" s="41"/>
      <c r="K156" s="47">
        <f aca="true" t="shared" si="89" ref="K156:V156">K131+K106</f>
        <v>0</v>
      </c>
      <c r="L156" s="47">
        <f t="shared" si="89"/>
        <v>5034</v>
      </c>
      <c r="M156" s="47">
        <f t="shared" si="89"/>
        <v>5034</v>
      </c>
      <c r="N156" s="47">
        <f t="shared" si="89"/>
        <v>5034</v>
      </c>
      <c r="O156" s="47">
        <f t="shared" si="89"/>
        <v>5298</v>
      </c>
      <c r="P156" s="47">
        <f t="shared" si="89"/>
        <v>5298</v>
      </c>
      <c r="Q156" s="47">
        <f t="shared" si="89"/>
        <v>5298</v>
      </c>
      <c r="R156" s="47">
        <f t="shared" si="89"/>
        <v>5298</v>
      </c>
      <c r="S156" s="47">
        <f t="shared" si="89"/>
        <v>9373</v>
      </c>
      <c r="T156" s="47">
        <f t="shared" si="89"/>
        <v>5298</v>
      </c>
      <c r="U156" s="47">
        <f t="shared" si="89"/>
        <v>5298</v>
      </c>
      <c r="V156" s="47">
        <f t="shared" si="89"/>
        <v>5544</v>
      </c>
      <c r="W156" s="57">
        <f aca="true" t="shared" si="90" ref="W156:W174">SUM(K156:V156)</f>
        <v>61807</v>
      </c>
      <c r="X156" s="48">
        <f aca="true" t="shared" si="91" ref="X156:X174">SUM(W156:W156)</f>
        <v>61807</v>
      </c>
      <c r="Y156" s="49">
        <f aca="true" t="shared" si="92" ref="Y156:Y164">ROUND(X156*0.22,0)</f>
        <v>13598</v>
      </c>
      <c r="Z156" s="50">
        <f aca="true" t="shared" si="93" ref="Z156:Z174">Y156+X156</f>
        <v>75405</v>
      </c>
      <c r="AA156" s="30">
        <f aca="true" t="shared" si="94" ref="AA156:AA169">K156/4</f>
        <v>0</v>
      </c>
      <c r="AB156" s="30">
        <f>AA156*0.3</f>
        <v>0</v>
      </c>
      <c r="AC156" s="30"/>
      <c r="AD156" s="60">
        <f>'[2]01.01.17(з мінім)'!$M$26</f>
        <v>60403.200000000004</v>
      </c>
      <c r="AE156" s="30" t="e">
        <f>X156-AD156-#REF!</f>
        <v>#REF!</v>
      </c>
      <c r="AF156" s="30">
        <f aca="true" t="shared" si="95" ref="AF156:AF174">W131+W106-W156</f>
        <v>0</v>
      </c>
    </row>
    <row r="157" spans="1:32" ht="12.75">
      <c r="A157" s="41">
        <f aca="true" t="shared" si="96" ref="A157:A171">A156+1</f>
        <v>2</v>
      </c>
      <c r="B157" s="51" t="s">
        <v>72</v>
      </c>
      <c r="C157" s="51" t="s">
        <v>73</v>
      </c>
      <c r="D157" s="41"/>
      <c r="E157" s="41"/>
      <c r="F157" s="41"/>
      <c r="G157" s="41"/>
      <c r="H157" s="41"/>
      <c r="I157" s="41"/>
      <c r="J157" s="41"/>
      <c r="K157" s="47">
        <f aca="true" t="shared" si="97" ref="K157:V157">K132+K107</f>
        <v>4531</v>
      </c>
      <c r="L157" s="47">
        <f t="shared" si="97"/>
        <v>4531</v>
      </c>
      <c r="M157" s="47">
        <f t="shared" si="97"/>
        <v>4531</v>
      </c>
      <c r="N157" s="47">
        <f t="shared" si="97"/>
        <v>12546</v>
      </c>
      <c r="O157" s="47">
        <f t="shared" si="97"/>
        <v>0</v>
      </c>
      <c r="P157" s="47">
        <f t="shared" si="97"/>
        <v>4769</v>
      </c>
      <c r="Q157" s="47">
        <f t="shared" si="97"/>
        <v>4769</v>
      </c>
      <c r="R157" s="47">
        <f t="shared" si="97"/>
        <v>4769</v>
      </c>
      <c r="S157" s="47">
        <f t="shared" si="97"/>
        <v>4769</v>
      </c>
      <c r="T157" s="47">
        <f t="shared" si="97"/>
        <v>4769</v>
      </c>
      <c r="U157" s="47">
        <f t="shared" si="97"/>
        <v>4769</v>
      </c>
      <c r="V157" s="47">
        <f t="shared" si="97"/>
        <v>4990</v>
      </c>
      <c r="W157" s="57">
        <f t="shared" si="90"/>
        <v>59743</v>
      </c>
      <c r="X157" s="48">
        <f t="shared" si="91"/>
        <v>59743</v>
      </c>
      <c r="Y157" s="49">
        <f t="shared" si="92"/>
        <v>13143</v>
      </c>
      <c r="Z157" s="50">
        <f t="shared" si="93"/>
        <v>72886</v>
      </c>
      <c r="AA157" s="30">
        <f t="shared" si="94"/>
        <v>1132.75</v>
      </c>
      <c r="AB157" s="30">
        <f>AA157*0.3</f>
        <v>339.825</v>
      </c>
      <c r="AC157" s="30"/>
      <c r="AD157" s="60">
        <f>'[2]01.01.17(з мінім)'!$M$27</f>
        <v>54366</v>
      </c>
      <c r="AE157" s="30" t="e">
        <f>X157-AD157-#REF!</f>
        <v>#REF!</v>
      </c>
      <c r="AF157" s="30">
        <f t="shared" si="95"/>
        <v>0</v>
      </c>
    </row>
    <row r="158" spans="1:32" ht="12.75">
      <c r="A158" s="41">
        <f t="shared" si="96"/>
        <v>3</v>
      </c>
      <c r="B158" s="41" t="s">
        <v>75</v>
      </c>
      <c r="C158" s="41" t="s">
        <v>76</v>
      </c>
      <c r="D158" s="41"/>
      <c r="E158" s="41"/>
      <c r="F158" s="41"/>
      <c r="G158" s="41"/>
      <c r="H158" s="41"/>
      <c r="I158" s="41"/>
      <c r="J158" s="41"/>
      <c r="K158" s="47">
        <f aca="true" t="shared" si="98" ref="K158:V158">K133+K108</f>
        <v>0</v>
      </c>
      <c r="L158" s="47">
        <f t="shared" si="98"/>
        <v>4782</v>
      </c>
      <c r="M158" s="47">
        <f t="shared" si="98"/>
        <v>4782</v>
      </c>
      <c r="N158" s="47">
        <f t="shared" si="98"/>
        <v>4782</v>
      </c>
      <c r="O158" s="47">
        <f t="shared" si="98"/>
        <v>5033</v>
      </c>
      <c r="P158" s="47">
        <f t="shared" si="98"/>
        <v>5033</v>
      </c>
      <c r="Q158" s="47">
        <f t="shared" si="98"/>
        <v>5033</v>
      </c>
      <c r="R158" s="47">
        <f t="shared" si="98"/>
        <v>13936</v>
      </c>
      <c r="S158" s="47">
        <f t="shared" si="98"/>
        <v>0</v>
      </c>
      <c r="T158" s="47">
        <f t="shared" si="98"/>
        <v>5033</v>
      </c>
      <c r="U158" s="47">
        <f t="shared" si="98"/>
        <v>5033</v>
      </c>
      <c r="V158" s="47">
        <f t="shared" si="98"/>
        <v>5267</v>
      </c>
      <c r="W158" s="57">
        <f t="shared" si="90"/>
        <v>58714</v>
      </c>
      <c r="X158" s="48">
        <f t="shared" si="91"/>
        <v>58714</v>
      </c>
      <c r="Y158" s="49">
        <f t="shared" si="92"/>
        <v>12917</v>
      </c>
      <c r="Z158" s="50">
        <f t="shared" si="93"/>
        <v>71631</v>
      </c>
      <c r="AA158" s="30">
        <f t="shared" si="94"/>
        <v>0</v>
      </c>
      <c r="AB158" s="30">
        <f>AA158*0.3</f>
        <v>0</v>
      </c>
      <c r="AC158" s="30"/>
      <c r="AD158" s="61">
        <v>57376.8</v>
      </c>
      <c r="AE158" s="30" t="e">
        <f>X158-AD158-#REF!</f>
        <v>#REF!</v>
      </c>
      <c r="AF158" s="30">
        <f t="shared" si="95"/>
        <v>0</v>
      </c>
    </row>
    <row r="159" spans="1:32" ht="12.75">
      <c r="A159" s="41">
        <f t="shared" si="96"/>
        <v>4</v>
      </c>
      <c r="B159" s="41" t="s">
        <v>77</v>
      </c>
      <c r="C159" s="41" t="s">
        <v>78</v>
      </c>
      <c r="D159" s="41"/>
      <c r="E159" s="41"/>
      <c r="F159" s="41"/>
      <c r="G159" s="41"/>
      <c r="H159" s="41"/>
      <c r="I159" s="41"/>
      <c r="J159" s="41"/>
      <c r="K159" s="47">
        <f aca="true" t="shared" si="99" ref="K159:V159">K134+K109</f>
        <v>3468</v>
      </c>
      <c r="L159" s="47">
        <f t="shared" si="99"/>
        <v>3468</v>
      </c>
      <c r="M159" s="47">
        <f t="shared" si="99"/>
        <v>3468</v>
      </c>
      <c r="N159" s="47">
        <f t="shared" si="99"/>
        <v>3468</v>
      </c>
      <c r="O159" s="47">
        <f t="shared" si="99"/>
        <v>3649</v>
      </c>
      <c r="P159" s="47">
        <f t="shared" si="99"/>
        <v>10615</v>
      </c>
      <c r="Q159" s="47">
        <f t="shared" si="99"/>
        <v>0</v>
      </c>
      <c r="R159" s="47">
        <f t="shared" si="99"/>
        <v>3649</v>
      </c>
      <c r="S159" s="47">
        <f t="shared" si="99"/>
        <v>3649</v>
      </c>
      <c r="T159" s="47">
        <f t="shared" si="99"/>
        <v>3649</v>
      </c>
      <c r="U159" s="47">
        <f t="shared" si="99"/>
        <v>3649</v>
      </c>
      <c r="V159" s="47">
        <f t="shared" si="99"/>
        <v>3819</v>
      </c>
      <c r="W159" s="57">
        <f t="shared" si="90"/>
        <v>46551</v>
      </c>
      <c r="X159" s="48">
        <f t="shared" si="91"/>
        <v>46551</v>
      </c>
      <c r="Y159" s="49">
        <f t="shared" si="92"/>
        <v>10241</v>
      </c>
      <c r="Z159" s="50">
        <f t="shared" si="93"/>
        <v>56792</v>
      </c>
      <c r="AA159" s="30">
        <f t="shared" si="94"/>
        <v>867</v>
      </c>
      <c r="AB159" s="30">
        <f aca="true" t="shared" si="100" ref="AB159:AB165">AA159*0.1</f>
        <v>86.7</v>
      </c>
      <c r="AC159" s="30"/>
      <c r="AD159" s="30">
        <f>'[2]01.01.17(з мінім)'!$M$30</f>
        <v>42240</v>
      </c>
      <c r="AE159" s="30" t="e">
        <f>X159-AD159-#REF!</f>
        <v>#REF!</v>
      </c>
      <c r="AF159" s="30">
        <f t="shared" si="95"/>
        <v>0</v>
      </c>
    </row>
    <row r="160" spans="1:32" ht="12.75">
      <c r="A160" s="41">
        <f t="shared" si="96"/>
        <v>5</v>
      </c>
      <c r="B160" s="41" t="s">
        <v>77</v>
      </c>
      <c r="C160" s="41" t="s">
        <v>79</v>
      </c>
      <c r="D160" s="41"/>
      <c r="E160" s="41"/>
      <c r="F160" s="41"/>
      <c r="G160" s="41"/>
      <c r="H160" s="41"/>
      <c r="I160" s="41"/>
      <c r="J160" s="41"/>
      <c r="K160" s="47">
        <f aca="true" t="shared" si="101" ref="K160:V160">K135+K110</f>
        <v>3468</v>
      </c>
      <c r="L160" s="47">
        <f t="shared" si="101"/>
        <v>3468</v>
      </c>
      <c r="M160" s="47">
        <f t="shared" si="101"/>
        <v>3468</v>
      </c>
      <c r="N160" s="47">
        <f t="shared" si="101"/>
        <v>3468</v>
      </c>
      <c r="O160" s="47">
        <f t="shared" si="101"/>
        <v>3649</v>
      </c>
      <c r="P160" s="47">
        <f t="shared" si="101"/>
        <v>3649</v>
      </c>
      <c r="Q160" s="47">
        <f t="shared" si="101"/>
        <v>10615</v>
      </c>
      <c r="R160" s="47">
        <f t="shared" si="101"/>
        <v>7298</v>
      </c>
      <c r="S160" s="47">
        <f t="shared" si="101"/>
        <v>3649</v>
      </c>
      <c r="T160" s="47">
        <f t="shared" si="101"/>
        <v>3649</v>
      </c>
      <c r="U160" s="47">
        <f t="shared" si="101"/>
        <v>3649</v>
      </c>
      <c r="V160" s="47">
        <f t="shared" si="101"/>
        <v>3819</v>
      </c>
      <c r="W160" s="57">
        <f t="shared" si="90"/>
        <v>53849</v>
      </c>
      <c r="X160" s="48">
        <f t="shared" si="91"/>
        <v>53849</v>
      </c>
      <c r="Y160" s="49">
        <f t="shared" si="92"/>
        <v>11847</v>
      </c>
      <c r="Z160" s="50">
        <f t="shared" si="93"/>
        <v>65696</v>
      </c>
      <c r="AA160" s="30">
        <f t="shared" si="94"/>
        <v>867</v>
      </c>
      <c r="AB160" s="30">
        <f t="shared" si="100"/>
        <v>86.7</v>
      </c>
      <c r="AC160" s="30"/>
      <c r="AD160" s="30">
        <f>AD159</f>
        <v>42240</v>
      </c>
      <c r="AE160" s="30" t="e">
        <f>X160-AD160-#REF!</f>
        <v>#REF!</v>
      </c>
      <c r="AF160" s="30">
        <f t="shared" si="95"/>
        <v>0</v>
      </c>
    </row>
    <row r="161" spans="1:32" ht="12.75">
      <c r="A161" s="41">
        <f t="shared" si="96"/>
        <v>6</v>
      </c>
      <c r="B161" s="41" t="s">
        <v>80</v>
      </c>
      <c r="C161" s="41" t="s">
        <v>81</v>
      </c>
      <c r="D161" s="41"/>
      <c r="E161" s="41"/>
      <c r="F161" s="41"/>
      <c r="G161" s="41"/>
      <c r="H161" s="41"/>
      <c r="I161" s="41"/>
      <c r="J161" s="41"/>
      <c r="K161" s="47">
        <f aca="true" t="shared" si="102" ref="K161:V161">K136+K111</f>
        <v>3204</v>
      </c>
      <c r="L161" s="47">
        <f t="shared" si="102"/>
        <v>3204</v>
      </c>
      <c r="M161" s="47">
        <f t="shared" si="102"/>
        <v>3204</v>
      </c>
      <c r="N161" s="47">
        <f t="shared" si="102"/>
        <v>3204</v>
      </c>
      <c r="O161" s="47">
        <f t="shared" si="102"/>
        <v>3242</v>
      </c>
      <c r="P161" s="47">
        <f t="shared" si="102"/>
        <v>3242</v>
      </c>
      <c r="Q161" s="47">
        <f t="shared" si="102"/>
        <v>3242</v>
      </c>
      <c r="R161" s="47">
        <f t="shared" si="102"/>
        <v>9076</v>
      </c>
      <c r="S161" s="47">
        <f t="shared" si="102"/>
        <v>0</v>
      </c>
      <c r="T161" s="47">
        <f t="shared" si="102"/>
        <v>3242</v>
      </c>
      <c r="U161" s="47">
        <f t="shared" si="102"/>
        <v>3242</v>
      </c>
      <c r="V161" s="47">
        <f t="shared" si="102"/>
        <v>3256</v>
      </c>
      <c r="W161" s="57">
        <f t="shared" si="90"/>
        <v>41358</v>
      </c>
      <c r="X161" s="48">
        <f t="shared" si="91"/>
        <v>41358</v>
      </c>
      <c r="Y161" s="49">
        <f t="shared" si="92"/>
        <v>9099</v>
      </c>
      <c r="Z161" s="50">
        <f t="shared" si="93"/>
        <v>50457</v>
      </c>
      <c r="AA161" s="30">
        <f t="shared" si="94"/>
        <v>801</v>
      </c>
      <c r="AB161" s="30">
        <f t="shared" si="100"/>
        <v>80.10000000000001</v>
      </c>
      <c r="AC161" s="30"/>
      <c r="AD161" s="30">
        <f>AD160</f>
        <v>42240</v>
      </c>
      <c r="AE161" s="30" t="e">
        <f>X161-AD161-#REF!</f>
        <v>#REF!</v>
      </c>
      <c r="AF161" s="30">
        <f t="shared" si="95"/>
        <v>0</v>
      </c>
    </row>
    <row r="162" spans="1:32" ht="12.75">
      <c r="A162" s="41">
        <f t="shared" si="96"/>
        <v>7</v>
      </c>
      <c r="B162" s="41" t="s">
        <v>80</v>
      </c>
      <c r="C162" s="41" t="s">
        <v>82</v>
      </c>
      <c r="D162" s="41"/>
      <c r="E162" s="41"/>
      <c r="F162" s="41"/>
      <c r="G162" s="41"/>
      <c r="H162" s="41"/>
      <c r="I162" s="41"/>
      <c r="J162" s="41"/>
      <c r="K162" s="47">
        <f aca="true" t="shared" si="103" ref="K162:V162">K137+K112</f>
        <v>3450</v>
      </c>
      <c r="L162" s="47">
        <f t="shared" si="103"/>
        <v>9364</v>
      </c>
      <c r="M162" s="47">
        <f t="shared" si="103"/>
        <v>0</v>
      </c>
      <c r="N162" s="47">
        <f t="shared" si="103"/>
        <v>3450</v>
      </c>
      <c r="O162" s="47">
        <f t="shared" si="103"/>
        <v>3501</v>
      </c>
      <c r="P162" s="47">
        <f t="shared" si="103"/>
        <v>3501</v>
      </c>
      <c r="Q162" s="47">
        <f t="shared" si="103"/>
        <v>3501</v>
      </c>
      <c r="R162" s="47">
        <f t="shared" si="103"/>
        <v>3501</v>
      </c>
      <c r="S162" s="47">
        <f t="shared" si="103"/>
        <v>3501</v>
      </c>
      <c r="T162" s="47">
        <f t="shared" si="103"/>
        <v>3501</v>
      </c>
      <c r="U162" s="47">
        <f t="shared" si="103"/>
        <v>3501</v>
      </c>
      <c r="V162" s="47">
        <f t="shared" si="103"/>
        <v>3527</v>
      </c>
      <c r="W162" s="57">
        <f t="shared" si="90"/>
        <v>44298</v>
      </c>
      <c r="X162" s="48">
        <f t="shared" si="91"/>
        <v>44298</v>
      </c>
      <c r="Y162" s="49">
        <f t="shared" si="92"/>
        <v>9746</v>
      </c>
      <c r="Z162" s="50">
        <f t="shared" si="93"/>
        <v>54044</v>
      </c>
      <c r="AA162" s="30">
        <f t="shared" si="94"/>
        <v>862.5</v>
      </c>
      <c r="AB162" s="30">
        <f t="shared" si="100"/>
        <v>86.25</v>
      </c>
      <c r="AC162" s="30"/>
      <c r="AD162">
        <v>48000</v>
      </c>
      <c r="AE162" s="30" t="e">
        <f>X162-AD162-#REF!</f>
        <v>#REF!</v>
      </c>
      <c r="AF162" s="30">
        <f t="shared" si="95"/>
        <v>0</v>
      </c>
    </row>
    <row r="163" spans="1:32" ht="12.75">
      <c r="A163" s="41">
        <f t="shared" si="96"/>
        <v>8</v>
      </c>
      <c r="B163" s="41" t="s">
        <v>83</v>
      </c>
      <c r="C163" s="41" t="s">
        <v>143</v>
      </c>
      <c r="D163" s="41"/>
      <c r="E163" s="41"/>
      <c r="F163" s="41"/>
      <c r="G163" s="41"/>
      <c r="H163" s="41"/>
      <c r="I163" s="41"/>
      <c r="J163" s="41"/>
      <c r="K163" s="47">
        <f aca="true" t="shared" si="104" ref="K163:V163">K138+K113</f>
        <v>4357</v>
      </c>
      <c r="L163" s="47">
        <f t="shared" si="104"/>
        <v>4357</v>
      </c>
      <c r="M163" s="47">
        <f t="shared" si="104"/>
        <v>4357</v>
      </c>
      <c r="N163" s="47">
        <f t="shared" si="104"/>
        <v>4357</v>
      </c>
      <c r="O163" s="47">
        <f t="shared" si="104"/>
        <v>12472</v>
      </c>
      <c r="P163" s="47">
        <f t="shared" si="104"/>
        <v>0</v>
      </c>
      <c r="Q163" s="47">
        <f t="shared" si="104"/>
        <v>4402</v>
      </c>
      <c r="R163" s="47">
        <f t="shared" si="104"/>
        <v>4402</v>
      </c>
      <c r="S163" s="47">
        <f t="shared" si="104"/>
        <v>4402</v>
      </c>
      <c r="T163" s="47">
        <f t="shared" si="104"/>
        <v>4402</v>
      </c>
      <c r="U163" s="47">
        <f t="shared" si="104"/>
        <v>4402</v>
      </c>
      <c r="V163" s="47">
        <f t="shared" si="104"/>
        <v>4414</v>
      </c>
      <c r="W163" s="57">
        <f t="shared" si="90"/>
        <v>56324</v>
      </c>
      <c r="X163" s="48">
        <f t="shared" si="91"/>
        <v>56324</v>
      </c>
      <c r="Y163" s="49">
        <f t="shared" si="92"/>
        <v>12391</v>
      </c>
      <c r="Z163" s="50">
        <f t="shared" si="93"/>
        <v>68715</v>
      </c>
      <c r="AA163" s="30">
        <f t="shared" si="94"/>
        <v>1089.25</v>
      </c>
      <c r="AB163" s="30">
        <f t="shared" si="100"/>
        <v>108.92500000000001</v>
      </c>
      <c r="AC163" s="30"/>
      <c r="AD163">
        <v>46002</v>
      </c>
      <c r="AE163" s="30" t="e">
        <f>X163-AD163-#REF!</f>
        <v>#REF!</v>
      </c>
      <c r="AF163" s="30">
        <f t="shared" si="95"/>
        <v>0</v>
      </c>
    </row>
    <row r="164" spans="1:32" ht="12.75">
      <c r="A164" s="41">
        <f t="shared" si="96"/>
        <v>9</v>
      </c>
      <c r="B164" s="41" t="s">
        <v>77</v>
      </c>
      <c r="C164" s="41" t="s">
        <v>84</v>
      </c>
      <c r="D164" s="41"/>
      <c r="E164" s="41"/>
      <c r="F164" s="41"/>
      <c r="G164" s="41"/>
      <c r="H164" s="41"/>
      <c r="I164" s="41"/>
      <c r="J164" s="41"/>
      <c r="K164" s="47">
        <f aca="true" t="shared" si="105" ref="K164:V164">K139+K114</f>
        <v>10087</v>
      </c>
      <c r="L164" s="47">
        <f t="shared" si="105"/>
        <v>0</v>
      </c>
      <c r="M164" s="47">
        <f t="shared" si="105"/>
        <v>3468</v>
      </c>
      <c r="N164" s="47">
        <f t="shared" si="105"/>
        <v>3468</v>
      </c>
      <c r="O164" s="47">
        <f t="shared" si="105"/>
        <v>3649</v>
      </c>
      <c r="P164" s="47">
        <f t="shared" si="105"/>
        <v>3649</v>
      </c>
      <c r="Q164" s="47">
        <f t="shared" si="105"/>
        <v>3649</v>
      </c>
      <c r="R164" s="47">
        <f t="shared" si="105"/>
        <v>3649</v>
      </c>
      <c r="S164" s="47">
        <f t="shared" si="105"/>
        <v>3649</v>
      </c>
      <c r="T164" s="47">
        <f t="shared" si="105"/>
        <v>3649</v>
      </c>
      <c r="U164" s="47">
        <f t="shared" si="105"/>
        <v>3649</v>
      </c>
      <c r="V164" s="47">
        <f t="shared" si="105"/>
        <v>3819</v>
      </c>
      <c r="W164" s="57">
        <f t="shared" si="90"/>
        <v>46385</v>
      </c>
      <c r="X164" s="48">
        <f t="shared" si="91"/>
        <v>46385</v>
      </c>
      <c r="Y164" s="49">
        <f t="shared" si="92"/>
        <v>10205</v>
      </c>
      <c r="Z164" s="50">
        <f t="shared" si="93"/>
        <v>56590</v>
      </c>
      <c r="AA164" s="30">
        <f t="shared" si="94"/>
        <v>2521.75</v>
      </c>
      <c r="AB164" s="30">
        <f t="shared" si="100"/>
        <v>252.175</v>
      </c>
      <c r="AC164" s="30"/>
      <c r="AD164" s="30">
        <f>AD161</f>
        <v>42240</v>
      </c>
      <c r="AE164" s="30" t="e">
        <f>X164-AD164-#REF!</f>
        <v>#REF!</v>
      </c>
      <c r="AF164" s="30">
        <f t="shared" si="95"/>
        <v>0</v>
      </c>
    </row>
    <row r="165" spans="1:32" ht="12.75">
      <c r="A165" s="41">
        <f t="shared" si="96"/>
        <v>10</v>
      </c>
      <c r="B165" s="41" t="s">
        <v>77</v>
      </c>
      <c r="C165" s="41" t="s">
        <v>85</v>
      </c>
      <c r="D165" s="41"/>
      <c r="E165" s="41"/>
      <c r="F165" s="41"/>
      <c r="G165" s="41"/>
      <c r="H165" s="41"/>
      <c r="I165" s="41"/>
      <c r="J165" s="41"/>
      <c r="K165" s="47">
        <f aca="true" t="shared" si="106" ref="K165:V165">K140+K115</f>
        <v>3468</v>
      </c>
      <c r="L165" s="47">
        <f t="shared" si="106"/>
        <v>3468</v>
      </c>
      <c r="M165" s="47">
        <f t="shared" si="106"/>
        <v>3468</v>
      </c>
      <c r="N165" s="47">
        <f t="shared" si="106"/>
        <v>3468</v>
      </c>
      <c r="O165" s="47">
        <f t="shared" si="106"/>
        <v>10615</v>
      </c>
      <c r="P165" s="47">
        <f t="shared" si="106"/>
        <v>0</v>
      </c>
      <c r="Q165" s="47">
        <f t="shared" si="106"/>
        <v>3649</v>
      </c>
      <c r="R165" s="47">
        <f t="shared" si="106"/>
        <v>3649</v>
      </c>
      <c r="S165" s="47">
        <f t="shared" si="106"/>
        <v>3649</v>
      </c>
      <c r="T165" s="47">
        <f t="shared" si="106"/>
        <v>3649</v>
      </c>
      <c r="U165" s="47">
        <f t="shared" si="106"/>
        <v>3649</v>
      </c>
      <c r="V165" s="47">
        <f t="shared" si="106"/>
        <v>3819</v>
      </c>
      <c r="W165" s="57">
        <f t="shared" si="90"/>
        <v>46551</v>
      </c>
      <c r="X165" s="48">
        <f t="shared" si="91"/>
        <v>46551</v>
      </c>
      <c r="Y165" s="49">
        <f>ROUND(X165*0.0841,0)</f>
        <v>3915</v>
      </c>
      <c r="Z165" s="50">
        <f t="shared" si="93"/>
        <v>50466</v>
      </c>
      <c r="AA165" s="30">
        <f t="shared" si="94"/>
        <v>867</v>
      </c>
      <c r="AB165" s="30">
        <f t="shared" si="100"/>
        <v>86.7</v>
      </c>
      <c r="AC165" s="30"/>
      <c r="AD165" s="30">
        <f>AD164</f>
        <v>42240</v>
      </c>
      <c r="AE165" s="30" t="e">
        <f>X165-AD165-#REF!</f>
        <v>#REF!</v>
      </c>
      <c r="AF165" s="30">
        <f t="shared" si="95"/>
        <v>0</v>
      </c>
    </row>
    <row r="166" spans="1:32" ht="12.75">
      <c r="A166" s="41">
        <f t="shared" si="96"/>
        <v>11</v>
      </c>
      <c r="B166" s="41" t="s">
        <v>75</v>
      </c>
      <c r="C166" s="41" t="s">
        <v>116</v>
      </c>
      <c r="D166" s="41"/>
      <c r="E166" s="41"/>
      <c r="F166" s="41"/>
      <c r="G166" s="41"/>
      <c r="H166" s="41"/>
      <c r="I166" s="41"/>
      <c r="J166" s="41"/>
      <c r="K166" s="47">
        <f aca="true" t="shared" si="107" ref="K166:V166">K141+K116</f>
        <v>4782</v>
      </c>
      <c r="L166" s="47">
        <f t="shared" si="107"/>
        <v>4782</v>
      </c>
      <c r="M166" s="47">
        <f t="shared" si="107"/>
        <v>4782</v>
      </c>
      <c r="N166" s="47">
        <f t="shared" si="107"/>
        <v>4782</v>
      </c>
      <c r="O166" s="47">
        <f t="shared" si="107"/>
        <v>5033</v>
      </c>
      <c r="P166" s="47">
        <f t="shared" si="107"/>
        <v>5033</v>
      </c>
      <c r="Q166" s="47">
        <f t="shared" si="107"/>
        <v>13936</v>
      </c>
      <c r="R166" s="47">
        <f t="shared" si="107"/>
        <v>0</v>
      </c>
      <c r="S166" s="47">
        <f t="shared" si="107"/>
        <v>5033</v>
      </c>
      <c r="T166" s="47">
        <f t="shared" si="107"/>
        <v>5033</v>
      </c>
      <c r="U166" s="47">
        <f t="shared" si="107"/>
        <v>5033</v>
      </c>
      <c r="V166" s="47">
        <f t="shared" si="107"/>
        <v>5267</v>
      </c>
      <c r="W166" s="57">
        <f t="shared" si="90"/>
        <v>63496</v>
      </c>
      <c r="X166" s="48">
        <f t="shared" si="91"/>
        <v>63496</v>
      </c>
      <c r="Y166" s="49">
        <f>ROUND(X166*0.22,0)</f>
        <v>13969</v>
      </c>
      <c r="Z166" s="50">
        <f t="shared" si="93"/>
        <v>77465</v>
      </c>
      <c r="AA166" s="30">
        <f t="shared" si="94"/>
        <v>1195.5</v>
      </c>
      <c r="AB166" s="30">
        <f>AA166*0.3</f>
        <v>358.65</v>
      </c>
      <c r="AC166" s="30"/>
      <c r="AD166" s="61">
        <v>57376.8</v>
      </c>
      <c r="AE166" s="30" t="e">
        <f>X166-AD166-#REF!</f>
        <v>#REF!</v>
      </c>
      <c r="AF166" s="30">
        <f t="shared" si="95"/>
        <v>0</v>
      </c>
    </row>
    <row r="167" spans="1:32" ht="12.75">
      <c r="A167" s="41">
        <f t="shared" si="96"/>
        <v>12</v>
      </c>
      <c r="B167" s="41" t="s">
        <v>77</v>
      </c>
      <c r="C167" s="41" t="s">
        <v>117</v>
      </c>
      <c r="D167" s="41"/>
      <c r="E167" s="41"/>
      <c r="F167" s="41"/>
      <c r="G167" s="41"/>
      <c r="H167" s="41"/>
      <c r="I167" s="41"/>
      <c r="J167" s="41"/>
      <c r="K167" s="47">
        <f aca="true" t="shared" si="108" ref="K167:V167">K142+K117</f>
        <v>3468</v>
      </c>
      <c r="L167" s="47">
        <f t="shared" si="108"/>
        <v>3468</v>
      </c>
      <c r="M167" s="47">
        <f t="shared" si="108"/>
        <v>3468</v>
      </c>
      <c r="N167" s="47">
        <f t="shared" si="108"/>
        <v>3468</v>
      </c>
      <c r="O167" s="47">
        <f t="shared" si="108"/>
        <v>3649</v>
      </c>
      <c r="P167" s="47">
        <f t="shared" si="108"/>
        <v>3649</v>
      </c>
      <c r="Q167" s="47">
        <f t="shared" si="108"/>
        <v>3649</v>
      </c>
      <c r="R167" s="47">
        <f t="shared" si="108"/>
        <v>3649</v>
      </c>
      <c r="S167" s="47">
        <f t="shared" si="108"/>
        <v>10615</v>
      </c>
      <c r="T167" s="47">
        <f t="shared" si="108"/>
        <v>0</v>
      </c>
      <c r="U167" s="47">
        <f t="shared" si="108"/>
        <v>3649</v>
      </c>
      <c r="V167" s="47">
        <f t="shared" si="108"/>
        <v>3819</v>
      </c>
      <c r="W167" s="57">
        <f t="shared" si="90"/>
        <v>46551</v>
      </c>
      <c r="X167" s="48">
        <f t="shared" si="91"/>
        <v>46551</v>
      </c>
      <c r="Y167" s="49">
        <f>ROUND(X167*0.22,0)</f>
        <v>10241</v>
      </c>
      <c r="Z167" s="50">
        <f t="shared" si="93"/>
        <v>56792</v>
      </c>
      <c r="AA167" s="30">
        <f t="shared" si="94"/>
        <v>867</v>
      </c>
      <c r="AB167" s="30">
        <f>AA167*0.1</f>
        <v>86.7</v>
      </c>
      <c r="AC167" s="30"/>
      <c r="AD167" s="30">
        <f>AD165</f>
        <v>42240</v>
      </c>
      <c r="AE167" s="30" t="e">
        <f>X167-AD167-#REF!</f>
        <v>#REF!</v>
      </c>
      <c r="AF167" s="30">
        <f t="shared" si="95"/>
        <v>0</v>
      </c>
    </row>
    <row r="168" spans="1:32" ht="12.75">
      <c r="A168" s="41">
        <f t="shared" si="96"/>
        <v>13</v>
      </c>
      <c r="B168" s="41" t="s">
        <v>77</v>
      </c>
      <c r="C168" s="41" t="s">
        <v>118</v>
      </c>
      <c r="D168" s="41"/>
      <c r="E168" s="41"/>
      <c r="F168" s="41"/>
      <c r="G168" s="41"/>
      <c r="H168" s="41"/>
      <c r="I168" s="41"/>
      <c r="J168" s="41"/>
      <c r="K168" s="47">
        <f aca="true" t="shared" si="109" ref="K168:V168">K143+K118</f>
        <v>4782</v>
      </c>
      <c r="L168" s="47">
        <f t="shared" si="109"/>
        <v>3468</v>
      </c>
      <c r="M168" s="47">
        <f t="shared" si="109"/>
        <v>10087</v>
      </c>
      <c r="N168" s="47">
        <f t="shared" si="109"/>
        <v>0</v>
      </c>
      <c r="O168" s="47">
        <f t="shared" si="109"/>
        <v>3649</v>
      </c>
      <c r="P168" s="47">
        <f t="shared" si="109"/>
        <v>3649</v>
      </c>
      <c r="Q168" s="47">
        <f t="shared" si="109"/>
        <v>3649</v>
      </c>
      <c r="R168" s="47">
        <f t="shared" si="109"/>
        <v>3649</v>
      </c>
      <c r="S168" s="47">
        <f t="shared" si="109"/>
        <v>3649</v>
      </c>
      <c r="T168" s="47">
        <f t="shared" si="109"/>
        <v>3649</v>
      </c>
      <c r="U168" s="47">
        <f t="shared" si="109"/>
        <v>3649</v>
      </c>
      <c r="V168" s="47">
        <f t="shared" si="109"/>
        <v>3819</v>
      </c>
      <c r="W168" s="57">
        <f t="shared" si="90"/>
        <v>47699</v>
      </c>
      <c r="X168" s="48">
        <f t="shared" si="91"/>
        <v>47699</v>
      </c>
      <c r="Y168" s="49">
        <f>ROUND(X168*0.22,0)</f>
        <v>10494</v>
      </c>
      <c r="Z168" s="50">
        <f t="shared" si="93"/>
        <v>58193</v>
      </c>
      <c r="AA168" s="30">
        <f t="shared" si="94"/>
        <v>1195.5</v>
      </c>
      <c r="AB168" s="30">
        <f>AA168*0.1</f>
        <v>119.55000000000001</v>
      </c>
      <c r="AC168" s="30"/>
      <c r="AD168" s="30">
        <f>AD167</f>
        <v>42240</v>
      </c>
      <c r="AE168" s="30" t="e">
        <f>X168-AD168-#REF!</f>
        <v>#REF!</v>
      </c>
      <c r="AF168" s="30">
        <f t="shared" si="95"/>
        <v>0</v>
      </c>
    </row>
    <row r="169" spans="1:32" ht="12.75">
      <c r="A169" s="41">
        <f t="shared" si="96"/>
        <v>14</v>
      </c>
      <c r="B169" s="41" t="s">
        <v>77</v>
      </c>
      <c r="C169" s="41" t="s">
        <v>119</v>
      </c>
      <c r="D169" s="41"/>
      <c r="E169" s="41"/>
      <c r="F169" s="41"/>
      <c r="G169" s="41"/>
      <c r="H169" s="41"/>
      <c r="I169" s="41"/>
      <c r="J169" s="41"/>
      <c r="K169" s="47">
        <f aca="true" t="shared" si="110" ref="K169:V169">K144+K119</f>
        <v>1600</v>
      </c>
      <c r="L169" s="47">
        <f t="shared" si="110"/>
        <v>1600</v>
      </c>
      <c r="M169" s="47">
        <f t="shared" si="110"/>
        <v>1600</v>
      </c>
      <c r="N169" s="47">
        <f t="shared" si="110"/>
        <v>1600</v>
      </c>
      <c r="O169" s="47">
        <f t="shared" si="110"/>
        <v>1658.5</v>
      </c>
      <c r="P169" s="47">
        <f t="shared" si="110"/>
        <v>3317</v>
      </c>
      <c r="Q169" s="47">
        <f t="shared" si="110"/>
        <v>0</v>
      </c>
      <c r="R169" s="47">
        <f t="shared" si="110"/>
        <v>1658.5</v>
      </c>
      <c r="S169" s="47">
        <f t="shared" si="110"/>
        <v>1658.5</v>
      </c>
      <c r="T169" s="47">
        <f t="shared" si="110"/>
        <v>1658.5</v>
      </c>
      <c r="U169" s="47">
        <f t="shared" si="110"/>
        <v>1658.5</v>
      </c>
      <c r="V169" s="47">
        <f t="shared" si="110"/>
        <v>1735.5</v>
      </c>
      <c r="W169" s="57">
        <f t="shared" si="90"/>
        <v>19745</v>
      </c>
      <c r="X169" s="48">
        <f t="shared" si="91"/>
        <v>19745</v>
      </c>
      <c r="Y169" s="49">
        <f>ROUND(X169*0.0841,0)</f>
        <v>1661</v>
      </c>
      <c r="Z169" s="50">
        <f t="shared" si="93"/>
        <v>21406</v>
      </c>
      <c r="AA169" s="30">
        <f t="shared" si="94"/>
        <v>400</v>
      </c>
      <c r="AB169" s="30">
        <f>AA169*0.1</f>
        <v>40</v>
      </c>
      <c r="AC169" s="30"/>
      <c r="AD169" s="30">
        <f>AD168</f>
        <v>42240</v>
      </c>
      <c r="AE169" s="30" t="e">
        <f>X169-AD169-#REF!</f>
        <v>#REF!</v>
      </c>
      <c r="AF169" s="30">
        <f t="shared" si="95"/>
        <v>0</v>
      </c>
    </row>
    <row r="170" spans="1:32" ht="12.75">
      <c r="A170" s="41">
        <f t="shared" si="96"/>
        <v>15</v>
      </c>
      <c r="B170" s="41" t="s">
        <v>77</v>
      </c>
      <c r="C170" s="41" t="s">
        <v>136</v>
      </c>
      <c r="D170" s="41"/>
      <c r="E170" s="41"/>
      <c r="F170" s="41"/>
      <c r="G170" s="41"/>
      <c r="H170" s="41"/>
      <c r="I170" s="41"/>
      <c r="J170" s="41"/>
      <c r="K170" s="47">
        <f aca="true" t="shared" si="111" ref="K170:V170">K145+K120</f>
        <v>1813</v>
      </c>
      <c r="L170" s="47">
        <f t="shared" si="111"/>
        <v>1813</v>
      </c>
      <c r="M170" s="47">
        <f t="shared" si="111"/>
        <v>3625</v>
      </c>
      <c r="N170" s="47">
        <f t="shared" si="111"/>
        <v>0</v>
      </c>
      <c r="O170" s="47">
        <f t="shared" si="111"/>
        <v>1907.5</v>
      </c>
      <c r="P170" s="47">
        <f t="shared" si="111"/>
        <v>1907.5</v>
      </c>
      <c r="Q170" s="47">
        <f t="shared" si="111"/>
        <v>1907.5</v>
      </c>
      <c r="R170" s="47">
        <f t="shared" si="111"/>
        <v>1907.5</v>
      </c>
      <c r="S170" s="47">
        <f t="shared" si="111"/>
        <v>1907.5</v>
      </c>
      <c r="T170" s="47">
        <f t="shared" si="111"/>
        <v>1907.5</v>
      </c>
      <c r="U170" s="47">
        <f t="shared" si="111"/>
        <v>1907.5</v>
      </c>
      <c r="V170" s="47">
        <f t="shared" si="111"/>
        <v>1996.5</v>
      </c>
      <c r="W170" s="57">
        <f t="shared" si="90"/>
        <v>22600</v>
      </c>
      <c r="X170" s="48">
        <f t="shared" si="91"/>
        <v>22600</v>
      </c>
      <c r="Y170" s="49">
        <f>ROUND(X170*0.22,0)</f>
        <v>4972</v>
      </c>
      <c r="Z170" s="50">
        <f t="shared" si="93"/>
        <v>27572</v>
      </c>
      <c r="AA170" s="30"/>
      <c r="AB170" s="30"/>
      <c r="AC170" s="30"/>
      <c r="AD170" s="30"/>
      <c r="AE170" s="30"/>
      <c r="AF170" s="30">
        <f t="shared" si="95"/>
        <v>0</v>
      </c>
    </row>
    <row r="171" spans="1:32" ht="12.75">
      <c r="A171" s="41">
        <f t="shared" si="96"/>
        <v>16</v>
      </c>
      <c r="B171" s="41" t="s">
        <v>77</v>
      </c>
      <c r="C171" s="41" t="s">
        <v>137</v>
      </c>
      <c r="D171" s="41"/>
      <c r="E171" s="41"/>
      <c r="F171" s="41"/>
      <c r="G171" s="41"/>
      <c r="H171" s="41"/>
      <c r="I171" s="41"/>
      <c r="J171" s="41"/>
      <c r="K171" s="47">
        <f aca="true" t="shared" si="112" ref="K171:V171">K146+K121</f>
        <v>1600</v>
      </c>
      <c r="L171" s="47">
        <f t="shared" si="112"/>
        <v>0</v>
      </c>
      <c r="M171" s="47">
        <f t="shared" si="112"/>
        <v>0</v>
      </c>
      <c r="N171" s="47">
        <f t="shared" si="112"/>
        <v>0</v>
      </c>
      <c r="O171" s="47">
        <f t="shared" si="112"/>
        <v>0</v>
      </c>
      <c r="P171" s="47">
        <f t="shared" si="112"/>
        <v>0</v>
      </c>
      <c r="Q171" s="47">
        <f t="shared" si="112"/>
        <v>0</v>
      </c>
      <c r="R171" s="47">
        <f t="shared" si="112"/>
        <v>0</v>
      </c>
      <c r="S171" s="47">
        <f t="shared" si="112"/>
        <v>0</v>
      </c>
      <c r="T171" s="47">
        <f t="shared" si="112"/>
        <v>0</v>
      </c>
      <c r="U171" s="47">
        <f t="shared" si="112"/>
        <v>0</v>
      </c>
      <c r="V171" s="47">
        <f t="shared" si="112"/>
        <v>0</v>
      </c>
      <c r="W171" s="57">
        <f t="shared" si="90"/>
        <v>1600</v>
      </c>
      <c r="X171" s="48">
        <f t="shared" si="91"/>
        <v>1600</v>
      </c>
      <c r="Y171" s="49">
        <f>ROUND(X171*0.22,0)</f>
        <v>352</v>
      </c>
      <c r="Z171" s="50">
        <f t="shared" si="93"/>
        <v>1952</v>
      </c>
      <c r="AA171" s="30"/>
      <c r="AB171" s="30"/>
      <c r="AC171" s="30"/>
      <c r="AD171" s="30"/>
      <c r="AE171" s="30"/>
      <c r="AF171" s="30">
        <f t="shared" si="95"/>
        <v>0</v>
      </c>
    </row>
    <row r="172" spans="1:32" ht="12.75">
      <c r="A172" s="41">
        <v>17</v>
      </c>
      <c r="B172" s="41" t="s">
        <v>77</v>
      </c>
      <c r="C172" s="41" t="s">
        <v>142</v>
      </c>
      <c r="D172" s="41"/>
      <c r="E172" s="41"/>
      <c r="F172" s="41"/>
      <c r="G172" s="41"/>
      <c r="H172" s="41"/>
      <c r="I172" s="41"/>
      <c r="J172" s="41"/>
      <c r="K172" s="47">
        <f aca="true" t="shared" si="113" ref="K172:V172">K147+K122</f>
        <v>1600</v>
      </c>
      <c r="L172" s="47">
        <f t="shared" si="113"/>
        <v>0</v>
      </c>
      <c r="M172" s="47">
        <f t="shared" si="113"/>
        <v>0</v>
      </c>
      <c r="N172" s="47">
        <f t="shared" si="113"/>
        <v>0</v>
      </c>
      <c r="O172" s="47">
        <f t="shared" si="113"/>
        <v>0</v>
      </c>
      <c r="P172" s="47">
        <f t="shared" si="113"/>
        <v>0</v>
      </c>
      <c r="Q172" s="47">
        <f t="shared" si="113"/>
        <v>0</v>
      </c>
      <c r="R172" s="47">
        <f t="shared" si="113"/>
        <v>0</v>
      </c>
      <c r="S172" s="47">
        <f t="shared" si="113"/>
        <v>0</v>
      </c>
      <c r="T172" s="47">
        <f t="shared" si="113"/>
        <v>0</v>
      </c>
      <c r="U172" s="47">
        <f t="shared" si="113"/>
        <v>0</v>
      </c>
      <c r="V172" s="47">
        <f t="shared" si="113"/>
        <v>0</v>
      </c>
      <c r="W172" s="57">
        <f t="shared" si="90"/>
        <v>1600</v>
      </c>
      <c r="X172" s="48">
        <f t="shared" si="91"/>
        <v>1600</v>
      </c>
      <c r="Y172" s="49">
        <f>ROUND(X172*0.0841,0)</f>
        <v>135</v>
      </c>
      <c r="Z172" s="50">
        <f t="shared" si="93"/>
        <v>1735</v>
      </c>
      <c r="AA172" s="30"/>
      <c r="AB172" s="30"/>
      <c r="AC172" s="30"/>
      <c r="AD172" s="30"/>
      <c r="AE172" s="30"/>
      <c r="AF172" s="30">
        <f t="shared" si="95"/>
        <v>0</v>
      </c>
    </row>
    <row r="173" spans="1:32" ht="12.75">
      <c r="A173" s="41">
        <f>A171+1</f>
        <v>17</v>
      </c>
      <c r="B173" s="41" t="s">
        <v>120</v>
      </c>
      <c r="C173" s="41" t="s">
        <v>138</v>
      </c>
      <c r="D173" s="41"/>
      <c r="E173" s="41"/>
      <c r="F173" s="41"/>
      <c r="G173" s="41"/>
      <c r="H173" s="41"/>
      <c r="I173" s="41"/>
      <c r="J173" s="41"/>
      <c r="K173" s="47">
        <f aca="true" t="shared" si="114" ref="K173:V173">K148+K123</f>
        <v>1600</v>
      </c>
      <c r="L173" s="47">
        <f t="shared" si="114"/>
        <v>1600</v>
      </c>
      <c r="M173" s="47">
        <f t="shared" si="114"/>
        <v>1600</v>
      </c>
      <c r="N173" s="47">
        <f t="shared" si="114"/>
        <v>1600</v>
      </c>
      <c r="O173" s="47">
        <f t="shared" si="114"/>
        <v>1675.5</v>
      </c>
      <c r="P173" s="47">
        <f t="shared" si="114"/>
        <v>1675.5</v>
      </c>
      <c r="Q173" s="47">
        <f t="shared" si="114"/>
        <v>3350</v>
      </c>
      <c r="R173" s="47">
        <f t="shared" si="114"/>
        <v>0</v>
      </c>
      <c r="S173" s="47">
        <f t="shared" si="114"/>
        <v>1675.5</v>
      </c>
      <c r="T173" s="47">
        <f t="shared" si="114"/>
        <v>1675.5</v>
      </c>
      <c r="U173" s="47">
        <f t="shared" si="114"/>
        <v>1675.5</v>
      </c>
      <c r="V173" s="47">
        <f t="shared" si="114"/>
        <v>1753</v>
      </c>
      <c r="W173" s="57">
        <f t="shared" si="90"/>
        <v>19880.5</v>
      </c>
      <c r="X173" s="48">
        <f t="shared" si="91"/>
        <v>19880.5</v>
      </c>
      <c r="Y173" s="49">
        <f>ROUND(X173*0.22,0)</f>
        <v>4374</v>
      </c>
      <c r="Z173" s="50">
        <f t="shared" si="93"/>
        <v>24254.5</v>
      </c>
      <c r="AA173" s="30"/>
      <c r="AB173" s="30"/>
      <c r="AC173" s="30"/>
      <c r="AD173" s="30"/>
      <c r="AE173" s="30"/>
      <c r="AF173" s="30">
        <f t="shared" si="95"/>
        <v>0</v>
      </c>
    </row>
    <row r="174" spans="1:32" ht="12.75">
      <c r="A174" s="41">
        <f>A173+1</f>
        <v>18</v>
      </c>
      <c r="B174" s="41" t="s">
        <v>120</v>
      </c>
      <c r="C174" s="41" t="s">
        <v>121</v>
      </c>
      <c r="D174" s="41"/>
      <c r="E174" s="41"/>
      <c r="F174" s="41"/>
      <c r="G174" s="41"/>
      <c r="H174" s="41"/>
      <c r="I174" s="41"/>
      <c r="J174" s="41"/>
      <c r="K174" s="47">
        <f aca="true" t="shared" si="115" ref="K174:V174">K149+K124</f>
        <v>1600</v>
      </c>
      <c r="L174" s="47">
        <f t="shared" si="115"/>
        <v>1600</v>
      </c>
      <c r="M174" s="47">
        <f t="shared" si="115"/>
        <v>1600</v>
      </c>
      <c r="N174" s="47">
        <f t="shared" si="115"/>
        <v>1600</v>
      </c>
      <c r="O174" s="47">
        <f t="shared" si="115"/>
        <v>1675.5</v>
      </c>
      <c r="P174" s="47">
        <f t="shared" si="115"/>
        <v>3350</v>
      </c>
      <c r="Q174" s="47">
        <f t="shared" si="115"/>
        <v>0</v>
      </c>
      <c r="R174" s="47">
        <f t="shared" si="115"/>
        <v>1675.5</v>
      </c>
      <c r="S174" s="47">
        <f t="shared" si="115"/>
        <v>1675.5</v>
      </c>
      <c r="T174" s="47">
        <f t="shared" si="115"/>
        <v>1675.5</v>
      </c>
      <c r="U174" s="47">
        <f t="shared" si="115"/>
        <v>1675.5</v>
      </c>
      <c r="V174" s="47">
        <f t="shared" si="115"/>
        <v>1753</v>
      </c>
      <c r="W174" s="57">
        <f t="shared" si="90"/>
        <v>19880.5</v>
      </c>
      <c r="X174" s="48">
        <f t="shared" si="91"/>
        <v>19880.5</v>
      </c>
      <c r="Y174" s="49">
        <f>ROUND(X174*0.22,0)</f>
        <v>4374</v>
      </c>
      <c r="Z174" s="50">
        <f t="shared" si="93"/>
        <v>24254.5</v>
      </c>
      <c r="AA174" s="30">
        <f>K174/4</f>
        <v>400</v>
      </c>
      <c r="AB174" s="30">
        <f>AA174*0.1</f>
        <v>40</v>
      </c>
      <c r="AC174" s="30"/>
      <c r="AD174">
        <v>48000</v>
      </c>
      <c r="AE174" s="30" t="e">
        <f>X174-AD174-#REF!</f>
        <v>#REF!</v>
      </c>
      <c r="AF174" s="30">
        <f t="shared" si="95"/>
        <v>0</v>
      </c>
    </row>
    <row r="175" spans="2:32" s="55" customFormat="1" ht="12.75">
      <c r="B175" s="52" t="s">
        <v>70</v>
      </c>
      <c r="C175" s="52"/>
      <c r="D175" s="52"/>
      <c r="E175" s="52"/>
      <c r="F175" s="53"/>
      <c r="G175" s="53"/>
      <c r="H175" s="53"/>
      <c r="I175" s="53"/>
      <c r="J175" s="53"/>
      <c r="K175" s="54">
        <f>ROUND(SUM(K156:K174)/10,0)*10</f>
        <v>58880</v>
      </c>
      <c r="L175" s="54">
        <f aca="true" t="shared" si="116" ref="L175:V175">ROUND(SUM(L156:L174)/10,0)*10</f>
        <v>60010</v>
      </c>
      <c r="M175" s="54">
        <f t="shared" si="116"/>
        <v>62540</v>
      </c>
      <c r="N175" s="54">
        <f t="shared" si="116"/>
        <v>60300</v>
      </c>
      <c r="O175" s="54">
        <f t="shared" si="116"/>
        <v>70360</v>
      </c>
      <c r="P175" s="54">
        <f t="shared" si="116"/>
        <v>62340</v>
      </c>
      <c r="Q175" s="54">
        <f t="shared" si="116"/>
        <v>70650</v>
      </c>
      <c r="R175" s="54">
        <f t="shared" si="116"/>
        <v>71770</v>
      </c>
      <c r="S175" s="54">
        <f t="shared" si="116"/>
        <v>62860</v>
      </c>
      <c r="T175" s="54">
        <f t="shared" si="116"/>
        <v>56440</v>
      </c>
      <c r="U175" s="54">
        <f t="shared" si="116"/>
        <v>60090</v>
      </c>
      <c r="V175" s="54">
        <f t="shared" si="116"/>
        <v>62420</v>
      </c>
      <c r="W175" s="54">
        <f aca="true" t="shared" si="117" ref="W175:AB175">SUM(W156:W174)</f>
        <v>758632</v>
      </c>
      <c r="X175" s="54">
        <f t="shared" si="117"/>
        <v>758632</v>
      </c>
      <c r="Y175" s="54">
        <f t="shared" si="117"/>
        <v>157674</v>
      </c>
      <c r="Z175" s="54">
        <f t="shared" si="117"/>
        <v>916306</v>
      </c>
      <c r="AA175" s="30">
        <f t="shared" si="117"/>
        <v>13066.25</v>
      </c>
      <c r="AB175" s="30">
        <f t="shared" si="117"/>
        <v>1772.275</v>
      </c>
      <c r="AC175" s="30"/>
      <c r="AD175" s="59">
        <f>SUM(AD156:AD174)</f>
        <v>709444.8</v>
      </c>
      <c r="AE175" s="59" t="e">
        <f>SUM(AE156:AE174)</f>
        <v>#REF!</v>
      </c>
      <c r="AF175" s="55">
        <v>41520</v>
      </c>
    </row>
    <row r="176" spans="11:23" ht="12.75">
      <c r="K176" s="30">
        <f>K175+1120</f>
        <v>60000</v>
      </c>
      <c r="L176" s="30">
        <f>L175-10</f>
        <v>60000</v>
      </c>
      <c r="M176" s="30">
        <f>M175-540</f>
        <v>62000</v>
      </c>
      <c r="N176" s="30">
        <f>N175+700</f>
        <v>61000</v>
      </c>
      <c r="O176" s="30">
        <f>O175-360</f>
        <v>70000</v>
      </c>
      <c r="P176" s="30">
        <f>P175+660+7000</f>
        <v>70000</v>
      </c>
      <c r="Q176" s="30">
        <f>Q175-650+2000</f>
        <v>72000</v>
      </c>
      <c r="R176" s="30">
        <f>R175+230</f>
        <v>72000</v>
      </c>
      <c r="S176" s="30">
        <f>S175-860-2000</f>
        <v>60000</v>
      </c>
      <c r="T176" s="30">
        <f>T175+160-6000-600+3000</f>
        <v>53000</v>
      </c>
      <c r="U176" s="30">
        <f>U175-90-10000</f>
        <v>50000</v>
      </c>
      <c r="V176" s="30">
        <f>V175-2420-10000</f>
        <v>50000</v>
      </c>
      <c r="W176" s="58">
        <f>SUM(K176:V176)</f>
        <v>740000</v>
      </c>
    </row>
    <row r="177" spans="11:23" ht="12.75">
      <c r="K177" s="30">
        <f>K176*0.22</f>
        <v>13200</v>
      </c>
      <c r="L177" s="30">
        <f aca="true" t="shared" si="118" ref="L177:V177">L176*0.22</f>
        <v>13200</v>
      </c>
      <c r="M177" s="30">
        <f>M176*0.22-40</f>
        <v>13600</v>
      </c>
      <c r="N177" s="30">
        <f>N176*0.22-20</f>
        <v>13400</v>
      </c>
      <c r="O177" s="30">
        <f t="shared" si="118"/>
        <v>15400</v>
      </c>
      <c r="P177" s="30">
        <f t="shared" si="118"/>
        <v>15400</v>
      </c>
      <c r="Q177" s="30">
        <f>Q176*0.22-40</f>
        <v>15800</v>
      </c>
      <c r="R177" s="30">
        <f>R176*0.22-40</f>
        <v>15800</v>
      </c>
      <c r="S177" s="30">
        <f t="shared" si="118"/>
        <v>13200</v>
      </c>
      <c r="T177" s="30">
        <f>T176*0.22-60</f>
        <v>11600</v>
      </c>
      <c r="U177" s="30">
        <f t="shared" si="118"/>
        <v>11000</v>
      </c>
      <c r="V177" s="30">
        <f t="shared" si="118"/>
        <v>11000</v>
      </c>
      <c r="W177" s="58">
        <f>SUM(K177:V177)</f>
        <v>162600</v>
      </c>
    </row>
    <row r="178" spans="11:21" ht="12.75"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2:22" ht="15.75">
      <c r="B179" s="62">
        <v>1120</v>
      </c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6" s="39" customFormat="1" ht="12" customHeight="1">
      <c r="A180" s="106" t="s">
        <v>62</v>
      </c>
      <c r="B180" s="106" t="s">
        <v>63</v>
      </c>
      <c r="C180" s="110" t="s">
        <v>64</v>
      </c>
      <c r="D180" s="110" t="s">
        <v>65</v>
      </c>
      <c r="E180" s="106" t="s">
        <v>66</v>
      </c>
      <c r="F180" s="112" t="s">
        <v>67</v>
      </c>
      <c r="G180" s="107" t="s">
        <v>111</v>
      </c>
      <c r="H180" s="108"/>
      <c r="I180" s="109"/>
      <c r="J180" s="106" t="s">
        <v>68</v>
      </c>
      <c r="K180" s="102" t="s">
        <v>124</v>
      </c>
      <c r="L180" s="102" t="s">
        <v>125</v>
      </c>
      <c r="M180" s="102" t="s">
        <v>126</v>
      </c>
      <c r="N180" s="102" t="s">
        <v>127</v>
      </c>
      <c r="O180" s="102" t="s">
        <v>128</v>
      </c>
      <c r="P180" s="102" t="s">
        <v>129</v>
      </c>
      <c r="Q180" s="102" t="s">
        <v>130</v>
      </c>
      <c r="R180" s="102" t="s">
        <v>131</v>
      </c>
      <c r="S180" s="102" t="s">
        <v>132</v>
      </c>
      <c r="T180" s="102" t="s">
        <v>133</v>
      </c>
      <c r="U180" s="102" t="s">
        <v>134</v>
      </c>
      <c r="V180" s="102" t="s">
        <v>69</v>
      </c>
      <c r="W180" s="104" t="s">
        <v>70</v>
      </c>
      <c r="X180" s="105">
        <v>1110</v>
      </c>
      <c r="Y180" s="105">
        <v>1120</v>
      </c>
      <c r="Z180" s="101" t="s">
        <v>71</v>
      </c>
    </row>
    <row r="181" spans="1:26" s="39" customFormat="1" ht="29.25" customHeight="1">
      <c r="A181" s="106"/>
      <c r="B181" s="106"/>
      <c r="C181" s="111"/>
      <c r="D181" s="111"/>
      <c r="E181" s="106"/>
      <c r="F181" s="113"/>
      <c r="G181" s="40" t="s">
        <v>112</v>
      </c>
      <c r="H181" s="40" t="s">
        <v>113</v>
      </c>
      <c r="I181" s="40" t="s">
        <v>114</v>
      </c>
      <c r="J181" s="106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4"/>
      <c r="X181" s="105"/>
      <c r="Y181" s="105"/>
      <c r="Z181" s="101"/>
    </row>
    <row r="182" spans="1:26" ht="12.75">
      <c r="A182" s="41"/>
      <c r="B182" s="42">
        <v>120300</v>
      </c>
      <c r="C182" s="42"/>
      <c r="D182" s="41"/>
      <c r="E182" s="41"/>
      <c r="F182" s="41"/>
      <c r="G182" s="41"/>
      <c r="H182" s="41"/>
      <c r="I182" s="41"/>
      <c r="J182" s="41"/>
      <c r="K182" s="47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3"/>
      <c r="X182" s="45"/>
      <c r="Y182" s="45"/>
      <c r="Z182" s="46"/>
    </row>
    <row r="183" spans="1:32" ht="12.75">
      <c r="A183" s="41">
        <v>1</v>
      </c>
      <c r="B183" s="41" t="s">
        <v>37</v>
      </c>
      <c r="C183" s="41"/>
      <c r="D183" s="41"/>
      <c r="E183" s="41"/>
      <c r="F183" s="41"/>
      <c r="G183" s="41"/>
      <c r="H183" s="41"/>
      <c r="I183" s="41"/>
      <c r="J183" s="41"/>
      <c r="K183" s="47">
        <f>ROUND(K156*0.22,0)</f>
        <v>0</v>
      </c>
      <c r="L183" s="47">
        <f aca="true" t="shared" si="119" ref="L183:V183">ROUND(L156*0.22,0)</f>
        <v>1107</v>
      </c>
      <c r="M183" s="47">
        <f t="shared" si="119"/>
        <v>1107</v>
      </c>
      <c r="N183" s="47">
        <f t="shared" si="119"/>
        <v>1107</v>
      </c>
      <c r="O183" s="47">
        <f t="shared" si="119"/>
        <v>1166</v>
      </c>
      <c r="P183" s="47">
        <f t="shared" si="119"/>
        <v>1166</v>
      </c>
      <c r="Q183" s="47">
        <f t="shared" si="119"/>
        <v>1166</v>
      </c>
      <c r="R183" s="47">
        <f t="shared" si="119"/>
        <v>1166</v>
      </c>
      <c r="S183" s="47">
        <f t="shared" si="119"/>
        <v>2062</v>
      </c>
      <c r="T183" s="47">
        <f t="shared" si="119"/>
        <v>1166</v>
      </c>
      <c r="U183" s="47">
        <f t="shared" si="119"/>
        <v>1166</v>
      </c>
      <c r="V183" s="47">
        <f t="shared" si="119"/>
        <v>1220</v>
      </c>
      <c r="W183" s="57">
        <f aca="true" t="shared" si="120" ref="W183:W201">SUM(K183:V183)</f>
        <v>13599</v>
      </c>
      <c r="X183" s="48">
        <f aca="true" t="shared" si="121" ref="X183:X201">SUM(W183:W183)</f>
        <v>13599</v>
      </c>
      <c r="Y183" s="49">
        <f aca="true" t="shared" si="122" ref="Y183:Y191">ROUND(X183*0.22,0)</f>
        <v>2992</v>
      </c>
      <c r="Z183" s="50">
        <f aca="true" t="shared" si="123" ref="Z183:Z201">Y183+X183</f>
        <v>16591</v>
      </c>
      <c r="AA183" s="30">
        <f aca="true" t="shared" si="124" ref="AA183:AA196">K183/4</f>
        <v>0</v>
      </c>
      <c r="AB183" s="30">
        <f>AA183*0.3</f>
        <v>0</v>
      </c>
      <c r="AC183" s="30"/>
      <c r="AD183" s="60">
        <f>'[2]01.01.17(з мінім)'!$M$26</f>
        <v>60403.200000000004</v>
      </c>
      <c r="AE183" s="30" t="e">
        <f>X183-AD183-#REF!</f>
        <v>#REF!</v>
      </c>
      <c r="AF183" s="30">
        <f aca="true" t="shared" si="125" ref="AF183:AF201">W158+W133-W183</f>
        <v>48986</v>
      </c>
    </row>
    <row r="184" spans="1:32" ht="12.75">
      <c r="A184" s="41">
        <f aca="true" t="shared" si="126" ref="A184:A198">A183+1</f>
        <v>2</v>
      </c>
      <c r="B184" s="51" t="s">
        <v>72</v>
      </c>
      <c r="C184" s="51" t="s">
        <v>73</v>
      </c>
      <c r="D184" s="41"/>
      <c r="E184" s="41"/>
      <c r="F184" s="41"/>
      <c r="G184" s="41"/>
      <c r="H184" s="41"/>
      <c r="I184" s="41"/>
      <c r="J184" s="41"/>
      <c r="K184" s="47">
        <f aca="true" t="shared" si="127" ref="K184:V201">ROUND(K157*0.22,0)</f>
        <v>997</v>
      </c>
      <c r="L184" s="47">
        <f t="shared" si="127"/>
        <v>997</v>
      </c>
      <c r="M184" s="47">
        <f t="shared" si="127"/>
        <v>997</v>
      </c>
      <c r="N184" s="47">
        <f t="shared" si="127"/>
        <v>2760</v>
      </c>
      <c r="O184" s="47">
        <f t="shared" si="127"/>
        <v>0</v>
      </c>
      <c r="P184" s="47">
        <f t="shared" si="127"/>
        <v>1049</v>
      </c>
      <c r="Q184" s="47">
        <f t="shared" si="127"/>
        <v>1049</v>
      </c>
      <c r="R184" s="47">
        <f t="shared" si="127"/>
        <v>1049</v>
      </c>
      <c r="S184" s="47">
        <f t="shared" si="127"/>
        <v>1049</v>
      </c>
      <c r="T184" s="47">
        <f t="shared" si="127"/>
        <v>1049</v>
      </c>
      <c r="U184" s="47">
        <f t="shared" si="127"/>
        <v>1049</v>
      </c>
      <c r="V184" s="47">
        <f t="shared" si="127"/>
        <v>1098</v>
      </c>
      <c r="W184" s="57">
        <f t="shared" si="120"/>
        <v>13143</v>
      </c>
      <c r="X184" s="48">
        <f t="shared" si="121"/>
        <v>13143</v>
      </c>
      <c r="Y184" s="49">
        <f t="shared" si="122"/>
        <v>2891</v>
      </c>
      <c r="Z184" s="50">
        <f t="shared" si="123"/>
        <v>16034</v>
      </c>
      <c r="AA184" s="30">
        <f t="shared" si="124"/>
        <v>249.25</v>
      </c>
      <c r="AB184" s="30">
        <f>AA184*0.3</f>
        <v>74.77499999999999</v>
      </c>
      <c r="AC184" s="30"/>
      <c r="AD184" s="60">
        <f>'[2]01.01.17(з мінім)'!$M$27</f>
        <v>54366</v>
      </c>
      <c r="AE184" s="30" t="e">
        <f>X184-AD184-#REF!</f>
        <v>#REF!</v>
      </c>
      <c r="AF184" s="30">
        <f t="shared" si="125"/>
        <v>36725</v>
      </c>
    </row>
    <row r="185" spans="1:32" ht="12.75">
      <c r="A185" s="41">
        <f t="shared" si="126"/>
        <v>3</v>
      </c>
      <c r="B185" s="41" t="s">
        <v>75</v>
      </c>
      <c r="C185" s="41" t="s">
        <v>76</v>
      </c>
      <c r="D185" s="41"/>
      <c r="E185" s="41"/>
      <c r="F185" s="41"/>
      <c r="G185" s="41"/>
      <c r="H185" s="41"/>
      <c r="I185" s="41"/>
      <c r="J185" s="41"/>
      <c r="K185" s="47">
        <f t="shared" si="127"/>
        <v>0</v>
      </c>
      <c r="L185" s="47">
        <f t="shared" si="127"/>
        <v>1052</v>
      </c>
      <c r="M185" s="47">
        <f t="shared" si="127"/>
        <v>1052</v>
      </c>
      <c r="N185" s="47">
        <f t="shared" si="127"/>
        <v>1052</v>
      </c>
      <c r="O185" s="47">
        <f t="shared" si="127"/>
        <v>1107</v>
      </c>
      <c r="P185" s="47">
        <f t="shared" si="127"/>
        <v>1107</v>
      </c>
      <c r="Q185" s="47">
        <f t="shared" si="127"/>
        <v>1107</v>
      </c>
      <c r="R185" s="47">
        <f t="shared" si="127"/>
        <v>3066</v>
      </c>
      <c r="S185" s="47">
        <f t="shared" si="127"/>
        <v>0</v>
      </c>
      <c r="T185" s="47">
        <f t="shared" si="127"/>
        <v>1107</v>
      </c>
      <c r="U185" s="47">
        <f t="shared" si="127"/>
        <v>1107</v>
      </c>
      <c r="V185" s="47">
        <f t="shared" si="127"/>
        <v>1159</v>
      </c>
      <c r="W185" s="57">
        <f t="shared" si="120"/>
        <v>12916</v>
      </c>
      <c r="X185" s="48">
        <f t="shared" si="121"/>
        <v>12916</v>
      </c>
      <c r="Y185" s="49">
        <f t="shared" si="122"/>
        <v>2842</v>
      </c>
      <c r="Z185" s="50">
        <f t="shared" si="123"/>
        <v>15758</v>
      </c>
      <c r="AA185" s="30">
        <f t="shared" si="124"/>
        <v>0</v>
      </c>
      <c r="AB185" s="30">
        <f>AA185*0.3</f>
        <v>0</v>
      </c>
      <c r="AC185" s="30"/>
      <c r="AD185" s="61">
        <v>57376.8</v>
      </c>
      <c r="AE185" s="30" t="e">
        <f>X185-AD185-#REF!</f>
        <v>#REF!</v>
      </c>
      <c r="AF185" s="30">
        <f t="shared" si="125"/>
        <v>44250</v>
      </c>
    </row>
    <row r="186" spans="1:32" ht="12.75">
      <c r="A186" s="41">
        <f t="shared" si="126"/>
        <v>4</v>
      </c>
      <c r="B186" s="41" t="s">
        <v>77</v>
      </c>
      <c r="C186" s="41" t="s">
        <v>78</v>
      </c>
      <c r="D186" s="41"/>
      <c r="E186" s="41"/>
      <c r="F186" s="41"/>
      <c r="G186" s="41"/>
      <c r="H186" s="41"/>
      <c r="I186" s="41"/>
      <c r="J186" s="41"/>
      <c r="K186" s="47">
        <f t="shared" si="127"/>
        <v>763</v>
      </c>
      <c r="L186" s="47">
        <f t="shared" si="127"/>
        <v>763</v>
      </c>
      <c r="M186" s="47">
        <f t="shared" si="127"/>
        <v>763</v>
      </c>
      <c r="N186" s="47">
        <f t="shared" si="127"/>
        <v>763</v>
      </c>
      <c r="O186" s="47">
        <f t="shared" si="127"/>
        <v>803</v>
      </c>
      <c r="P186" s="47">
        <f t="shared" si="127"/>
        <v>2335</v>
      </c>
      <c r="Q186" s="47">
        <f t="shared" si="127"/>
        <v>0</v>
      </c>
      <c r="R186" s="47">
        <f t="shared" si="127"/>
        <v>803</v>
      </c>
      <c r="S186" s="47">
        <f t="shared" si="127"/>
        <v>803</v>
      </c>
      <c r="T186" s="47">
        <f t="shared" si="127"/>
        <v>803</v>
      </c>
      <c r="U186" s="47">
        <f t="shared" si="127"/>
        <v>803</v>
      </c>
      <c r="V186" s="47">
        <f t="shared" si="127"/>
        <v>840</v>
      </c>
      <c r="W186" s="57">
        <f t="shared" si="120"/>
        <v>10242</v>
      </c>
      <c r="X186" s="48">
        <f t="shared" si="121"/>
        <v>10242</v>
      </c>
      <c r="Y186" s="49">
        <f t="shared" si="122"/>
        <v>2253</v>
      </c>
      <c r="Z186" s="50">
        <f t="shared" si="123"/>
        <v>12495</v>
      </c>
      <c r="AA186" s="30">
        <f t="shared" si="124"/>
        <v>190.75</v>
      </c>
      <c r="AB186" s="30">
        <f aca="true" t="shared" si="128" ref="AB186:AB192">AA186*0.1</f>
        <v>19.075</v>
      </c>
      <c r="AC186" s="30"/>
      <c r="AD186" s="30">
        <f>'[2]01.01.17(з мінім)'!$M$30</f>
        <v>42240</v>
      </c>
      <c r="AE186" s="30" t="e">
        <f>X186-AD186-#REF!</f>
        <v>#REF!</v>
      </c>
      <c r="AF186" s="30">
        <f t="shared" si="125"/>
        <v>33709</v>
      </c>
    </row>
    <row r="187" spans="1:32" ht="12.75">
      <c r="A187" s="41">
        <f t="shared" si="126"/>
        <v>5</v>
      </c>
      <c r="B187" s="41" t="s">
        <v>77</v>
      </c>
      <c r="C187" s="41" t="s">
        <v>79</v>
      </c>
      <c r="D187" s="41"/>
      <c r="E187" s="41"/>
      <c r="F187" s="41"/>
      <c r="G187" s="41"/>
      <c r="H187" s="41"/>
      <c r="I187" s="41"/>
      <c r="J187" s="41"/>
      <c r="K187" s="47">
        <f t="shared" si="127"/>
        <v>763</v>
      </c>
      <c r="L187" s="47">
        <f t="shared" si="127"/>
        <v>763</v>
      </c>
      <c r="M187" s="47">
        <f t="shared" si="127"/>
        <v>763</v>
      </c>
      <c r="N187" s="47">
        <f t="shared" si="127"/>
        <v>763</v>
      </c>
      <c r="O187" s="47">
        <f t="shared" si="127"/>
        <v>803</v>
      </c>
      <c r="P187" s="47">
        <f t="shared" si="127"/>
        <v>803</v>
      </c>
      <c r="Q187" s="47">
        <f t="shared" si="127"/>
        <v>2335</v>
      </c>
      <c r="R187" s="47">
        <f t="shared" si="127"/>
        <v>1606</v>
      </c>
      <c r="S187" s="47">
        <f t="shared" si="127"/>
        <v>803</v>
      </c>
      <c r="T187" s="47">
        <f t="shared" si="127"/>
        <v>803</v>
      </c>
      <c r="U187" s="47">
        <f t="shared" si="127"/>
        <v>803</v>
      </c>
      <c r="V187" s="47">
        <f t="shared" si="127"/>
        <v>840</v>
      </c>
      <c r="W187" s="57">
        <f t="shared" si="120"/>
        <v>11848</v>
      </c>
      <c r="X187" s="48">
        <f t="shared" si="121"/>
        <v>11848</v>
      </c>
      <c r="Y187" s="49">
        <f t="shared" si="122"/>
        <v>2607</v>
      </c>
      <c r="Z187" s="50">
        <f t="shared" si="123"/>
        <v>14455</v>
      </c>
      <c r="AA187" s="30">
        <f t="shared" si="124"/>
        <v>190.75</v>
      </c>
      <c r="AB187" s="30">
        <f t="shared" si="128"/>
        <v>19.075</v>
      </c>
      <c r="AC187" s="30"/>
      <c r="AD187" s="30">
        <f>AD186</f>
        <v>42240</v>
      </c>
      <c r="AE187" s="30" t="e">
        <f>X187-AD187-#REF!</f>
        <v>#REF!</v>
      </c>
      <c r="AF187" s="30">
        <f t="shared" si="125"/>
        <v>34914</v>
      </c>
    </row>
    <row r="188" spans="1:32" ht="12.75">
      <c r="A188" s="41">
        <f t="shared" si="126"/>
        <v>6</v>
      </c>
      <c r="B188" s="41" t="s">
        <v>80</v>
      </c>
      <c r="C188" s="41" t="s">
        <v>81</v>
      </c>
      <c r="D188" s="41"/>
      <c r="E188" s="41"/>
      <c r="F188" s="41"/>
      <c r="G188" s="41"/>
      <c r="H188" s="41"/>
      <c r="I188" s="41"/>
      <c r="J188" s="41"/>
      <c r="K188" s="47">
        <f t="shared" si="127"/>
        <v>705</v>
      </c>
      <c r="L188" s="47">
        <f t="shared" si="127"/>
        <v>705</v>
      </c>
      <c r="M188" s="47">
        <f t="shared" si="127"/>
        <v>705</v>
      </c>
      <c r="N188" s="47">
        <f t="shared" si="127"/>
        <v>705</v>
      </c>
      <c r="O188" s="47">
        <f t="shared" si="127"/>
        <v>713</v>
      </c>
      <c r="P188" s="47">
        <f t="shared" si="127"/>
        <v>713</v>
      </c>
      <c r="Q188" s="47">
        <f t="shared" si="127"/>
        <v>713</v>
      </c>
      <c r="R188" s="47">
        <f t="shared" si="127"/>
        <v>1997</v>
      </c>
      <c r="S188" s="47">
        <f t="shared" si="127"/>
        <v>0</v>
      </c>
      <c r="T188" s="47">
        <f t="shared" si="127"/>
        <v>713</v>
      </c>
      <c r="U188" s="47">
        <f t="shared" si="127"/>
        <v>713</v>
      </c>
      <c r="V188" s="47">
        <f t="shared" si="127"/>
        <v>716</v>
      </c>
      <c r="W188" s="57">
        <f t="shared" si="120"/>
        <v>9098</v>
      </c>
      <c r="X188" s="48">
        <f t="shared" si="121"/>
        <v>9098</v>
      </c>
      <c r="Y188" s="49">
        <f t="shared" si="122"/>
        <v>2002</v>
      </c>
      <c r="Z188" s="50">
        <f t="shared" si="123"/>
        <v>11100</v>
      </c>
      <c r="AA188" s="30">
        <f t="shared" si="124"/>
        <v>176.25</v>
      </c>
      <c r="AB188" s="30">
        <f t="shared" si="128"/>
        <v>17.625</v>
      </c>
      <c r="AC188" s="30"/>
      <c r="AD188" s="30">
        <f>AD187</f>
        <v>42240</v>
      </c>
      <c r="AE188" s="30" t="e">
        <f>X188-AD188-#REF!</f>
        <v>#REF!</v>
      </c>
      <c r="AF188" s="30">
        <f t="shared" si="125"/>
        <v>50894</v>
      </c>
    </row>
    <row r="189" spans="1:32" ht="12.75">
      <c r="A189" s="41">
        <f t="shared" si="126"/>
        <v>7</v>
      </c>
      <c r="B189" s="41" t="s">
        <v>80</v>
      </c>
      <c r="C189" s="41" t="s">
        <v>82</v>
      </c>
      <c r="D189" s="41"/>
      <c r="E189" s="41"/>
      <c r="F189" s="41"/>
      <c r="G189" s="41"/>
      <c r="H189" s="41"/>
      <c r="I189" s="41"/>
      <c r="J189" s="41"/>
      <c r="K189" s="47">
        <f t="shared" si="127"/>
        <v>759</v>
      </c>
      <c r="L189" s="47">
        <f t="shared" si="127"/>
        <v>2060</v>
      </c>
      <c r="M189" s="47">
        <f t="shared" si="127"/>
        <v>0</v>
      </c>
      <c r="N189" s="47">
        <f t="shared" si="127"/>
        <v>759</v>
      </c>
      <c r="O189" s="47">
        <f t="shared" si="127"/>
        <v>770</v>
      </c>
      <c r="P189" s="47">
        <f t="shared" si="127"/>
        <v>770</v>
      </c>
      <c r="Q189" s="47">
        <f t="shared" si="127"/>
        <v>770</v>
      </c>
      <c r="R189" s="47">
        <f t="shared" si="127"/>
        <v>770</v>
      </c>
      <c r="S189" s="47">
        <f t="shared" si="127"/>
        <v>770</v>
      </c>
      <c r="T189" s="47">
        <f t="shared" si="127"/>
        <v>770</v>
      </c>
      <c r="U189" s="47">
        <f t="shared" si="127"/>
        <v>770</v>
      </c>
      <c r="V189" s="47">
        <f t="shared" si="127"/>
        <v>776</v>
      </c>
      <c r="W189" s="57">
        <f t="shared" si="120"/>
        <v>9744</v>
      </c>
      <c r="X189" s="48">
        <f t="shared" si="121"/>
        <v>9744</v>
      </c>
      <c r="Y189" s="49">
        <f t="shared" si="122"/>
        <v>2144</v>
      </c>
      <c r="Z189" s="50">
        <f t="shared" si="123"/>
        <v>11888</v>
      </c>
      <c r="AA189" s="30">
        <f t="shared" si="124"/>
        <v>189.75</v>
      </c>
      <c r="AB189" s="30">
        <f t="shared" si="128"/>
        <v>18.975</v>
      </c>
      <c r="AC189" s="30"/>
      <c r="AD189">
        <v>48000</v>
      </c>
      <c r="AE189" s="30" t="e">
        <f>X189-AD189-#REF!</f>
        <v>#REF!</v>
      </c>
      <c r="AF189" s="30">
        <f t="shared" si="125"/>
        <v>39793</v>
      </c>
    </row>
    <row r="190" spans="1:32" ht="12.75">
      <c r="A190" s="41">
        <f t="shared" si="126"/>
        <v>8</v>
      </c>
      <c r="B190" s="41" t="s">
        <v>83</v>
      </c>
      <c r="C190" s="41" t="s">
        <v>143</v>
      </c>
      <c r="D190" s="41"/>
      <c r="E190" s="41"/>
      <c r="F190" s="41"/>
      <c r="G190" s="41"/>
      <c r="H190" s="41"/>
      <c r="I190" s="41"/>
      <c r="J190" s="41"/>
      <c r="K190" s="47">
        <f t="shared" si="127"/>
        <v>959</v>
      </c>
      <c r="L190" s="47">
        <f t="shared" si="127"/>
        <v>959</v>
      </c>
      <c r="M190" s="47">
        <f t="shared" si="127"/>
        <v>959</v>
      </c>
      <c r="N190" s="47">
        <f t="shared" si="127"/>
        <v>959</v>
      </c>
      <c r="O190" s="47">
        <f t="shared" si="127"/>
        <v>2744</v>
      </c>
      <c r="P190" s="47">
        <f t="shared" si="127"/>
        <v>0</v>
      </c>
      <c r="Q190" s="47">
        <f t="shared" si="127"/>
        <v>968</v>
      </c>
      <c r="R190" s="47">
        <f t="shared" si="127"/>
        <v>968</v>
      </c>
      <c r="S190" s="47">
        <f t="shared" si="127"/>
        <v>968</v>
      </c>
      <c r="T190" s="47">
        <f t="shared" si="127"/>
        <v>968</v>
      </c>
      <c r="U190" s="47">
        <f t="shared" si="127"/>
        <v>968</v>
      </c>
      <c r="V190" s="47">
        <f t="shared" si="127"/>
        <v>971</v>
      </c>
      <c r="W190" s="57">
        <f t="shared" si="120"/>
        <v>12391</v>
      </c>
      <c r="X190" s="48">
        <f t="shared" si="121"/>
        <v>12391</v>
      </c>
      <c r="Y190" s="49">
        <f t="shared" si="122"/>
        <v>2726</v>
      </c>
      <c r="Z190" s="50">
        <f t="shared" si="123"/>
        <v>15117</v>
      </c>
      <c r="AA190" s="30">
        <f t="shared" si="124"/>
        <v>239.75</v>
      </c>
      <c r="AB190" s="30">
        <f t="shared" si="128"/>
        <v>23.975</v>
      </c>
      <c r="AC190" s="30"/>
      <c r="AD190">
        <v>46002</v>
      </c>
      <c r="AE190" s="30" t="e">
        <f>X190-AD190-#REF!</f>
        <v>#REF!</v>
      </c>
      <c r="AF190" s="30">
        <f t="shared" si="125"/>
        <v>37477</v>
      </c>
    </row>
    <row r="191" spans="1:32" ht="12.75">
      <c r="A191" s="41">
        <f t="shared" si="126"/>
        <v>9</v>
      </c>
      <c r="B191" s="41" t="s">
        <v>77</v>
      </c>
      <c r="C191" s="41" t="s">
        <v>84</v>
      </c>
      <c r="D191" s="41"/>
      <c r="E191" s="41"/>
      <c r="F191" s="41"/>
      <c r="G191" s="41"/>
      <c r="H191" s="41"/>
      <c r="I191" s="41"/>
      <c r="J191" s="41"/>
      <c r="K191" s="47">
        <f t="shared" si="127"/>
        <v>2219</v>
      </c>
      <c r="L191" s="47">
        <f t="shared" si="127"/>
        <v>0</v>
      </c>
      <c r="M191" s="47">
        <f t="shared" si="127"/>
        <v>763</v>
      </c>
      <c r="N191" s="47">
        <f t="shared" si="127"/>
        <v>763</v>
      </c>
      <c r="O191" s="47">
        <f t="shared" si="127"/>
        <v>803</v>
      </c>
      <c r="P191" s="47">
        <f t="shared" si="127"/>
        <v>803</v>
      </c>
      <c r="Q191" s="47">
        <f t="shared" si="127"/>
        <v>803</v>
      </c>
      <c r="R191" s="47">
        <f t="shared" si="127"/>
        <v>803</v>
      </c>
      <c r="S191" s="47">
        <f t="shared" si="127"/>
        <v>803</v>
      </c>
      <c r="T191" s="47">
        <f t="shared" si="127"/>
        <v>803</v>
      </c>
      <c r="U191" s="47">
        <f t="shared" si="127"/>
        <v>803</v>
      </c>
      <c r="V191" s="47">
        <f t="shared" si="127"/>
        <v>840</v>
      </c>
      <c r="W191" s="57">
        <f t="shared" si="120"/>
        <v>10206</v>
      </c>
      <c r="X191" s="48">
        <f t="shared" si="121"/>
        <v>10206</v>
      </c>
      <c r="Y191" s="49">
        <f t="shared" si="122"/>
        <v>2245</v>
      </c>
      <c r="Z191" s="50">
        <f t="shared" si="123"/>
        <v>12451</v>
      </c>
      <c r="AA191" s="30">
        <f t="shared" si="124"/>
        <v>554.75</v>
      </c>
      <c r="AB191" s="30">
        <f t="shared" si="128"/>
        <v>55.475</v>
      </c>
      <c r="AC191" s="30"/>
      <c r="AD191" s="30">
        <f>AD188</f>
        <v>42240</v>
      </c>
      <c r="AE191" s="30" t="e">
        <f>X191-AD191-#REF!</f>
        <v>#REF!</v>
      </c>
      <c r="AF191" s="30">
        <f t="shared" si="125"/>
        <v>57161</v>
      </c>
    </row>
    <row r="192" spans="1:32" ht="12.75">
      <c r="A192" s="41">
        <f t="shared" si="126"/>
        <v>10</v>
      </c>
      <c r="B192" s="41" t="s">
        <v>77</v>
      </c>
      <c r="C192" s="41" t="s">
        <v>85</v>
      </c>
      <c r="D192" s="41"/>
      <c r="E192" s="41"/>
      <c r="F192" s="41"/>
      <c r="G192" s="41"/>
      <c r="H192" s="41"/>
      <c r="I192" s="41"/>
      <c r="J192" s="41"/>
      <c r="K192" s="47">
        <f>ROUND(K165*0.0841,0)</f>
        <v>292</v>
      </c>
      <c r="L192" s="47">
        <f aca="true" t="shared" si="129" ref="L192:V192">ROUND(L165*0.0841,0)</f>
        <v>292</v>
      </c>
      <c r="M192" s="47">
        <f t="shared" si="129"/>
        <v>292</v>
      </c>
      <c r="N192" s="47">
        <f t="shared" si="129"/>
        <v>292</v>
      </c>
      <c r="O192" s="47">
        <f t="shared" si="129"/>
        <v>893</v>
      </c>
      <c r="P192" s="47">
        <f t="shared" si="129"/>
        <v>0</v>
      </c>
      <c r="Q192" s="47">
        <f t="shared" si="129"/>
        <v>307</v>
      </c>
      <c r="R192" s="47">
        <f t="shared" si="129"/>
        <v>307</v>
      </c>
      <c r="S192" s="47">
        <f t="shared" si="129"/>
        <v>307</v>
      </c>
      <c r="T192" s="47">
        <f t="shared" si="129"/>
        <v>307</v>
      </c>
      <c r="U192" s="47">
        <f t="shared" si="129"/>
        <v>307</v>
      </c>
      <c r="V192" s="47">
        <f t="shared" si="129"/>
        <v>321</v>
      </c>
      <c r="W192" s="57">
        <f t="shared" si="120"/>
        <v>3917</v>
      </c>
      <c r="X192" s="48">
        <f t="shared" si="121"/>
        <v>3917</v>
      </c>
      <c r="Y192" s="49">
        <f>ROUND(X192*0.0841,0)</f>
        <v>329</v>
      </c>
      <c r="Z192" s="50">
        <f t="shared" si="123"/>
        <v>4246</v>
      </c>
      <c r="AA192" s="30">
        <f t="shared" si="124"/>
        <v>73</v>
      </c>
      <c r="AB192" s="30">
        <f t="shared" si="128"/>
        <v>7.300000000000001</v>
      </c>
      <c r="AC192" s="30"/>
      <c r="AD192" s="30">
        <f>AD191</f>
        <v>42240</v>
      </c>
      <c r="AE192" s="30" t="e">
        <f>X192-AD192-#REF!</f>
        <v>#REF!</v>
      </c>
      <c r="AF192" s="30">
        <f t="shared" si="125"/>
        <v>45951</v>
      </c>
    </row>
    <row r="193" spans="1:32" ht="12.75">
      <c r="A193" s="41">
        <f t="shared" si="126"/>
        <v>11</v>
      </c>
      <c r="B193" s="41" t="s">
        <v>75</v>
      </c>
      <c r="C193" s="41" t="s">
        <v>116</v>
      </c>
      <c r="D193" s="41"/>
      <c r="E193" s="41"/>
      <c r="F193" s="41"/>
      <c r="G193" s="41"/>
      <c r="H193" s="41"/>
      <c r="I193" s="41"/>
      <c r="J193" s="41"/>
      <c r="K193" s="47">
        <f t="shared" si="127"/>
        <v>1052</v>
      </c>
      <c r="L193" s="47">
        <f t="shared" si="127"/>
        <v>1052</v>
      </c>
      <c r="M193" s="47">
        <f t="shared" si="127"/>
        <v>1052</v>
      </c>
      <c r="N193" s="47">
        <f t="shared" si="127"/>
        <v>1052</v>
      </c>
      <c r="O193" s="47">
        <f t="shared" si="127"/>
        <v>1107</v>
      </c>
      <c r="P193" s="47">
        <f t="shared" si="127"/>
        <v>1107</v>
      </c>
      <c r="Q193" s="47">
        <f t="shared" si="127"/>
        <v>3066</v>
      </c>
      <c r="R193" s="47">
        <f t="shared" si="127"/>
        <v>0</v>
      </c>
      <c r="S193" s="47">
        <f t="shared" si="127"/>
        <v>1107</v>
      </c>
      <c r="T193" s="47">
        <f t="shared" si="127"/>
        <v>1107</v>
      </c>
      <c r="U193" s="47">
        <f t="shared" si="127"/>
        <v>1107</v>
      </c>
      <c r="V193" s="47">
        <f t="shared" si="127"/>
        <v>1159</v>
      </c>
      <c r="W193" s="57">
        <f t="shared" si="120"/>
        <v>13968</v>
      </c>
      <c r="X193" s="48">
        <f t="shared" si="121"/>
        <v>13968</v>
      </c>
      <c r="Y193" s="49">
        <f>ROUND(X193*0.22,0)</f>
        <v>3073</v>
      </c>
      <c r="Z193" s="50">
        <f t="shared" si="123"/>
        <v>17041</v>
      </c>
      <c r="AA193" s="30">
        <f t="shared" si="124"/>
        <v>263</v>
      </c>
      <c r="AB193" s="30">
        <f>AA193*0.3</f>
        <v>78.89999999999999</v>
      </c>
      <c r="AC193" s="30"/>
      <c r="AD193" s="61">
        <v>57376.8</v>
      </c>
      <c r="AE193" s="30" t="e">
        <f>X193-AD193-#REF!</f>
        <v>#REF!</v>
      </c>
      <c r="AF193" s="30">
        <f t="shared" si="125"/>
        <v>36883</v>
      </c>
    </row>
    <row r="194" spans="1:32" ht="12.75">
      <c r="A194" s="41">
        <f t="shared" si="126"/>
        <v>12</v>
      </c>
      <c r="B194" s="41" t="s">
        <v>77</v>
      </c>
      <c r="C194" s="41" t="s">
        <v>117</v>
      </c>
      <c r="D194" s="41"/>
      <c r="E194" s="41"/>
      <c r="F194" s="41"/>
      <c r="G194" s="41"/>
      <c r="H194" s="41"/>
      <c r="I194" s="41"/>
      <c r="J194" s="41"/>
      <c r="K194" s="47">
        <f t="shared" si="127"/>
        <v>763</v>
      </c>
      <c r="L194" s="47">
        <f t="shared" si="127"/>
        <v>763</v>
      </c>
      <c r="M194" s="47">
        <f t="shared" si="127"/>
        <v>763</v>
      </c>
      <c r="N194" s="47">
        <f t="shared" si="127"/>
        <v>763</v>
      </c>
      <c r="O194" s="47">
        <f t="shared" si="127"/>
        <v>803</v>
      </c>
      <c r="P194" s="47">
        <f t="shared" si="127"/>
        <v>803</v>
      </c>
      <c r="Q194" s="47">
        <f t="shared" si="127"/>
        <v>803</v>
      </c>
      <c r="R194" s="47">
        <f t="shared" si="127"/>
        <v>803</v>
      </c>
      <c r="S194" s="47">
        <f t="shared" si="127"/>
        <v>2335</v>
      </c>
      <c r="T194" s="47">
        <f t="shared" si="127"/>
        <v>0</v>
      </c>
      <c r="U194" s="47">
        <f t="shared" si="127"/>
        <v>803</v>
      </c>
      <c r="V194" s="47">
        <f t="shared" si="127"/>
        <v>840</v>
      </c>
      <c r="W194" s="57">
        <f t="shared" si="120"/>
        <v>10242</v>
      </c>
      <c r="X194" s="48">
        <f t="shared" si="121"/>
        <v>10242</v>
      </c>
      <c r="Y194" s="49">
        <f>ROUND(X194*0.22,0)</f>
        <v>2253</v>
      </c>
      <c r="Z194" s="50">
        <f t="shared" si="123"/>
        <v>12495</v>
      </c>
      <c r="AA194" s="30">
        <f t="shared" si="124"/>
        <v>190.75</v>
      </c>
      <c r="AB194" s="30">
        <f>AA194*0.1</f>
        <v>19.075</v>
      </c>
      <c r="AC194" s="30"/>
      <c r="AD194" s="30">
        <f>AD192</f>
        <v>42240</v>
      </c>
      <c r="AE194" s="30" t="e">
        <f>X194-AD194-#REF!</f>
        <v>#REF!</v>
      </c>
      <c r="AF194" s="30">
        <f t="shared" si="125"/>
        <v>9503</v>
      </c>
    </row>
    <row r="195" spans="1:32" ht="12.75">
      <c r="A195" s="41">
        <f t="shared" si="126"/>
        <v>13</v>
      </c>
      <c r="B195" s="41" t="s">
        <v>77</v>
      </c>
      <c r="C195" s="41" t="s">
        <v>118</v>
      </c>
      <c r="D195" s="41"/>
      <c r="E195" s="41"/>
      <c r="F195" s="41"/>
      <c r="G195" s="41"/>
      <c r="H195" s="41"/>
      <c r="I195" s="41"/>
      <c r="J195" s="41"/>
      <c r="K195" s="47">
        <f t="shared" si="127"/>
        <v>1052</v>
      </c>
      <c r="L195" s="47">
        <f t="shared" si="127"/>
        <v>763</v>
      </c>
      <c r="M195" s="47">
        <f t="shared" si="127"/>
        <v>2219</v>
      </c>
      <c r="N195" s="47">
        <f t="shared" si="127"/>
        <v>0</v>
      </c>
      <c r="O195" s="47">
        <f t="shared" si="127"/>
        <v>803</v>
      </c>
      <c r="P195" s="47">
        <f t="shared" si="127"/>
        <v>803</v>
      </c>
      <c r="Q195" s="47">
        <f t="shared" si="127"/>
        <v>803</v>
      </c>
      <c r="R195" s="47">
        <f t="shared" si="127"/>
        <v>803</v>
      </c>
      <c r="S195" s="47">
        <f t="shared" si="127"/>
        <v>803</v>
      </c>
      <c r="T195" s="47">
        <f t="shared" si="127"/>
        <v>803</v>
      </c>
      <c r="U195" s="47">
        <f t="shared" si="127"/>
        <v>803</v>
      </c>
      <c r="V195" s="47">
        <f t="shared" si="127"/>
        <v>840</v>
      </c>
      <c r="W195" s="57">
        <f t="shared" si="120"/>
        <v>10495</v>
      </c>
      <c r="X195" s="48">
        <f t="shared" si="121"/>
        <v>10495</v>
      </c>
      <c r="Y195" s="49">
        <f>ROUND(X195*0.22,0)</f>
        <v>2309</v>
      </c>
      <c r="Z195" s="50">
        <f t="shared" si="123"/>
        <v>12804</v>
      </c>
      <c r="AA195" s="30">
        <f t="shared" si="124"/>
        <v>263</v>
      </c>
      <c r="AB195" s="30">
        <f>AA195*0.1</f>
        <v>26.3</v>
      </c>
      <c r="AC195" s="30"/>
      <c r="AD195" s="30">
        <f>AD194</f>
        <v>42240</v>
      </c>
      <c r="AE195" s="30" t="e">
        <f>X195-AD195-#REF!</f>
        <v>#REF!</v>
      </c>
      <c r="AF195" s="30">
        <f t="shared" si="125"/>
        <v>12105</v>
      </c>
    </row>
    <row r="196" spans="1:32" ht="12.75">
      <c r="A196" s="41">
        <f t="shared" si="126"/>
        <v>14</v>
      </c>
      <c r="B196" s="41" t="s">
        <v>77</v>
      </c>
      <c r="C196" s="41" t="s">
        <v>119</v>
      </c>
      <c r="D196" s="41"/>
      <c r="E196" s="41"/>
      <c r="F196" s="41"/>
      <c r="G196" s="41"/>
      <c r="H196" s="41"/>
      <c r="I196" s="41"/>
      <c r="J196" s="41"/>
      <c r="K196" s="47">
        <f>ROUND(K169*0.0841,0)</f>
        <v>135</v>
      </c>
      <c r="L196" s="47">
        <f aca="true" t="shared" si="130" ref="L196:V196">ROUND(L169*0.0841,0)</f>
        <v>135</v>
      </c>
      <c r="M196" s="47">
        <f t="shared" si="130"/>
        <v>135</v>
      </c>
      <c r="N196" s="47">
        <f t="shared" si="130"/>
        <v>135</v>
      </c>
      <c r="O196" s="47">
        <f t="shared" si="130"/>
        <v>139</v>
      </c>
      <c r="P196" s="47">
        <f t="shared" si="130"/>
        <v>279</v>
      </c>
      <c r="Q196" s="47">
        <f t="shared" si="130"/>
        <v>0</v>
      </c>
      <c r="R196" s="47">
        <f t="shared" si="130"/>
        <v>139</v>
      </c>
      <c r="S196" s="47">
        <f t="shared" si="130"/>
        <v>139</v>
      </c>
      <c r="T196" s="47">
        <f t="shared" si="130"/>
        <v>139</v>
      </c>
      <c r="U196" s="47">
        <f t="shared" si="130"/>
        <v>139</v>
      </c>
      <c r="V196" s="47">
        <f t="shared" si="130"/>
        <v>146</v>
      </c>
      <c r="W196" s="57">
        <f t="shared" si="120"/>
        <v>1660</v>
      </c>
      <c r="X196" s="48">
        <f t="shared" si="121"/>
        <v>1660</v>
      </c>
      <c r="Y196" s="49">
        <f>ROUND(X196*0.0841,0)</f>
        <v>140</v>
      </c>
      <c r="Z196" s="50">
        <f t="shared" si="123"/>
        <v>1800</v>
      </c>
      <c r="AA196" s="30">
        <f t="shared" si="124"/>
        <v>33.75</v>
      </c>
      <c r="AB196" s="30">
        <f>AA196*0.1</f>
        <v>3.375</v>
      </c>
      <c r="AC196" s="30"/>
      <c r="AD196" s="30">
        <f>AD195</f>
        <v>42240</v>
      </c>
      <c r="AE196" s="30" t="e">
        <f>X196-AD196-#REF!</f>
        <v>#REF!</v>
      </c>
      <c r="AF196" s="30">
        <f t="shared" si="125"/>
        <v>-60</v>
      </c>
    </row>
    <row r="197" spans="1:32" ht="12.75">
      <c r="A197" s="41">
        <f t="shared" si="126"/>
        <v>15</v>
      </c>
      <c r="B197" s="41" t="s">
        <v>77</v>
      </c>
      <c r="C197" s="41" t="s">
        <v>136</v>
      </c>
      <c r="D197" s="41"/>
      <c r="E197" s="41"/>
      <c r="F197" s="41"/>
      <c r="G197" s="41"/>
      <c r="H197" s="41"/>
      <c r="I197" s="41"/>
      <c r="J197" s="41"/>
      <c r="K197" s="47">
        <f t="shared" si="127"/>
        <v>399</v>
      </c>
      <c r="L197" s="47">
        <f t="shared" si="127"/>
        <v>399</v>
      </c>
      <c r="M197" s="47">
        <f t="shared" si="127"/>
        <v>798</v>
      </c>
      <c r="N197" s="47">
        <f t="shared" si="127"/>
        <v>0</v>
      </c>
      <c r="O197" s="47">
        <f t="shared" si="127"/>
        <v>420</v>
      </c>
      <c r="P197" s="47">
        <f t="shared" si="127"/>
        <v>420</v>
      </c>
      <c r="Q197" s="47">
        <f t="shared" si="127"/>
        <v>420</v>
      </c>
      <c r="R197" s="47">
        <f t="shared" si="127"/>
        <v>420</v>
      </c>
      <c r="S197" s="47">
        <f t="shared" si="127"/>
        <v>420</v>
      </c>
      <c r="T197" s="47">
        <f t="shared" si="127"/>
        <v>420</v>
      </c>
      <c r="U197" s="47">
        <f t="shared" si="127"/>
        <v>420</v>
      </c>
      <c r="V197" s="47">
        <f t="shared" si="127"/>
        <v>439</v>
      </c>
      <c r="W197" s="57">
        <f t="shared" si="120"/>
        <v>4975</v>
      </c>
      <c r="X197" s="48">
        <f t="shared" si="121"/>
        <v>4975</v>
      </c>
      <c r="Y197" s="49">
        <f>ROUND(X197*0.22,0)</f>
        <v>1095</v>
      </c>
      <c r="Z197" s="50">
        <f t="shared" si="123"/>
        <v>6070</v>
      </c>
      <c r="AA197" s="30"/>
      <c r="AB197" s="30"/>
      <c r="AC197" s="30"/>
      <c r="AD197" s="30"/>
      <c r="AE197" s="30"/>
      <c r="AF197" s="30">
        <f t="shared" si="125"/>
        <v>-3375</v>
      </c>
    </row>
    <row r="198" spans="1:32" ht="12.75">
      <c r="A198" s="41">
        <f t="shared" si="126"/>
        <v>16</v>
      </c>
      <c r="B198" s="41" t="s">
        <v>77</v>
      </c>
      <c r="C198" s="41" t="s">
        <v>137</v>
      </c>
      <c r="D198" s="41"/>
      <c r="E198" s="41"/>
      <c r="F198" s="41"/>
      <c r="G198" s="41"/>
      <c r="H198" s="41"/>
      <c r="I198" s="41"/>
      <c r="J198" s="41"/>
      <c r="K198" s="47">
        <f t="shared" si="127"/>
        <v>352</v>
      </c>
      <c r="L198" s="47">
        <f t="shared" si="127"/>
        <v>0</v>
      </c>
      <c r="M198" s="47">
        <f t="shared" si="127"/>
        <v>0</v>
      </c>
      <c r="N198" s="47">
        <f t="shared" si="127"/>
        <v>0</v>
      </c>
      <c r="O198" s="47">
        <f t="shared" si="127"/>
        <v>0</v>
      </c>
      <c r="P198" s="47">
        <f t="shared" si="127"/>
        <v>0</v>
      </c>
      <c r="Q198" s="47">
        <f t="shared" si="127"/>
        <v>0</v>
      </c>
      <c r="R198" s="47">
        <f t="shared" si="127"/>
        <v>0</v>
      </c>
      <c r="S198" s="47">
        <f t="shared" si="127"/>
        <v>0</v>
      </c>
      <c r="T198" s="47">
        <f t="shared" si="127"/>
        <v>0</v>
      </c>
      <c r="U198" s="47">
        <f t="shared" si="127"/>
        <v>0</v>
      </c>
      <c r="V198" s="47">
        <f t="shared" si="127"/>
        <v>0</v>
      </c>
      <c r="W198" s="57">
        <f t="shared" si="120"/>
        <v>352</v>
      </c>
      <c r="X198" s="48">
        <f t="shared" si="121"/>
        <v>352</v>
      </c>
      <c r="Y198" s="49">
        <f>ROUND(X198*0.22,0)</f>
        <v>77</v>
      </c>
      <c r="Z198" s="50">
        <f t="shared" si="123"/>
        <v>429</v>
      </c>
      <c r="AA198" s="30"/>
      <c r="AB198" s="30"/>
      <c r="AC198" s="30"/>
      <c r="AD198" s="30"/>
      <c r="AE198" s="30"/>
      <c r="AF198" s="30">
        <f t="shared" si="125"/>
        <v>19528.5</v>
      </c>
    </row>
    <row r="199" spans="1:32" ht="12.75">
      <c r="A199" s="41">
        <v>17</v>
      </c>
      <c r="B199" s="41" t="s">
        <v>77</v>
      </c>
      <c r="C199" s="41" t="s">
        <v>142</v>
      </c>
      <c r="D199" s="41"/>
      <c r="E199" s="41"/>
      <c r="F199" s="41"/>
      <c r="G199" s="41"/>
      <c r="H199" s="41"/>
      <c r="I199" s="41"/>
      <c r="J199" s="41"/>
      <c r="K199" s="47">
        <f>ROUND(K172*0.0841,0)</f>
        <v>135</v>
      </c>
      <c r="L199" s="47">
        <f aca="true" t="shared" si="131" ref="L199:V199">ROUND(L172*0.0841,0)</f>
        <v>0</v>
      </c>
      <c r="M199" s="47">
        <f t="shared" si="131"/>
        <v>0</v>
      </c>
      <c r="N199" s="47">
        <f t="shared" si="131"/>
        <v>0</v>
      </c>
      <c r="O199" s="47">
        <f t="shared" si="131"/>
        <v>0</v>
      </c>
      <c r="P199" s="47">
        <f t="shared" si="131"/>
        <v>0</v>
      </c>
      <c r="Q199" s="47">
        <f t="shared" si="131"/>
        <v>0</v>
      </c>
      <c r="R199" s="47">
        <f t="shared" si="131"/>
        <v>0</v>
      </c>
      <c r="S199" s="47">
        <f t="shared" si="131"/>
        <v>0</v>
      </c>
      <c r="T199" s="47">
        <f t="shared" si="131"/>
        <v>0</v>
      </c>
      <c r="U199" s="47">
        <f t="shared" si="131"/>
        <v>0</v>
      </c>
      <c r="V199" s="47">
        <f t="shared" si="131"/>
        <v>0</v>
      </c>
      <c r="W199" s="57">
        <f t="shared" si="120"/>
        <v>135</v>
      </c>
      <c r="X199" s="48">
        <f t="shared" si="121"/>
        <v>135</v>
      </c>
      <c r="Y199" s="49">
        <f>ROUND(X199*0.0841,0)</f>
        <v>11</v>
      </c>
      <c r="Z199" s="50">
        <f t="shared" si="123"/>
        <v>146</v>
      </c>
      <c r="AA199" s="30"/>
      <c r="AB199" s="30"/>
      <c r="AC199" s="30"/>
      <c r="AD199" s="30"/>
      <c r="AE199" s="30"/>
      <c r="AF199" s="30">
        <f t="shared" si="125"/>
        <v>19745.5</v>
      </c>
    </row>
    <row r="200" spans="1:32" ht="12.75">
      <c r="A200" s="41">
        <f>A198+1</f>
        <v>17</v>
      </c>
      <c r="B200" s="41" t="s">
        <v>120</v>
      </c>
      <c r="C200" s="41" t="s">
        <v>138</v>
      </c>
      <c r="D200" s="41"/>
      <c r="E200" s="41"/>
      <c r="F200" s="41"/>
      <c r="G200" s="41"/>
      <c r="H200" s="41"/>
      <c r="I200" s="41"/>
      <c r="J200" s="41"/>
      <c r="K200" s="47">
        <f t="shared" si="127"/>
        <v>352</v>
      </c>
      <c r="L200" s="47">
        <f t="shared" si="127"/>
        <v>352</v>
      </c>
      <c r="M200" s="47">
        <f t="shared" si="127"/>
        <v>352</v>
      </c>
      <c r="N200" s="47">
        <f t="shared" si="127"/>
        <v>352</v>
      </c>
      <c r="O200" s="47">
        <f t="shared" si="127"/>
        <v>369</v>
      </c>
      <c r="P200" s="47">
        <f t="shared" si="127"/>
        <v>369</v>
      </c>
      <c r="Q200" s="47">
        <f t="shared" si="127"/>
        <v>737</v>
      </c>
      <c r="R200" s="47">
        <f t="shared" si="127"/>
        <v>0</v>
      </c>
      <c r="S200" s="47">
        <f t="shared" si="127"/>
        <v>369</v>
      </c>
      <c r="T200" s="47">
        <f t="shared" si="127"/>
        <v>369</v>
      </c>
      <c r="U200" s="47">
        <f t="shared" si="127"/>
        <v>369</v>
      </c>
      <c r="V200" s="47">
        <f t="shared" si="127"/>
        <v>386</v>
      </c>
      <c r="W200" s="57">
        <f t="shared" si="120"/>
        <v>4376</v>
      </c>
      <c r="X200" s="48">
        <f t="shared" si="121"/>
        <v>4376</v>
      </c>
      <c r="Y200" s="49">
        <f>ROUND(X200*0.22,0)</f>
        <v>963</v>
      </c>
      <c r="Z200" s="50">
        <f t="shared" si="123"/>
        <v>5339</v>
      </c>
      <c r="AA200" s="30"/>
      <c r="AB200" s="30"/>
      <c r="AC200" s="30"/>
      <c r="AD200" s="30"/>
      <c r="AE200" s="30"/>
      <c r="AF200" s="30">
        <f t="shared" si="125"/>
        <v>797855</v>
      </c>
    </row>
    <row r="201" spans="1:32" ht="12.75">
      <c r="A201" s="41">
        <f>A200+1</f>
        <v>18</v>
      </c>
      <c r="B201" s="41" t="s">
        <v>120</v>
      </c>
      <c r="C201" s="41" t="s">
        <v>121</v>
      </c>
      <c r="D201" s="41"/>
      <c r="E201" s="41"/>
      <c r="F201" s="41"/>
      <c r="G201" s="41"/>
      <c r="H201" s="41"/>
      <c r="I201" s="41"/>
      <c r="J201" s="41"/>
      <c r="K201" s="47">
        <f t="shared" si="127"/>
        <v>352</v>
      </c>
      <c r="L201" s="47">
        <f t="shared" si="127"/>
        <v>352</v>
      </c>
      <c r="M201" s="47">
        <f t="shared" si="127"/>
        <v>352</v>
      </c>
      <c r="N201" s="47">
        <f t="shared" si="127"/>
        <v>352</v>
      </c>
      <c r="O201" s="47">
        <f t="shared" si="127"/>
        <v>369</v>
      </c>
      <c r="P201" s="47">
        <f t="shared" si="127"/>
        <v>737</v>
      </c>
      <c r="Q201" s="47">
        <f t="shared" si="127"/>
        <v>0</v>
      </c>
      <c r="R201" s="47">
        <f t="shared" si="127"/>
        <v>369</v>
      </c>
      <c r="S201" s="47">
        <f t="shared" si="127"/>
        <v>369</v>
      </c>
      <c r="T201" s="47">
        <f t="shared" si="127"/>
        <v>369</v>
      </c>
      <c r="U201" s="47">
        <f t="shared" si="127"/>
        <v>369</v>
      </c>
      <c r="V201" s="47">
        <f t="shared" si="127"/>
        <v>386</v>
      </c>
      <c r="W201" s="57">
        <f t="shared" si="120"/>
        <v>4376</v>
      </c>
      <c r="X201" s="48">
        <f t="shared" si="121"/>
        <v>4376</v>
      </c>
      <c r="Y201" s="49">
        <f>ROUND(X201*0.22,0)</f>
        <v>963</v>
      </c>
      <c r="Z201" s="50">
        <f t="shared" si="123"/>
        <v>5339</v>
      </c>
      <c r="AA201" s="30">
        <f>K201/4</f>
        <v>88</v>
      </c>
      <c r="AB201" s="30">
        <f>AA201*0.1</f>
        <v>8.8</v>
      </c>
      <c r="AC201" s="30"/>
      <c r="AD201">
        <v>48000</v>
      </c>
      <c r="AE201" s="30" t="e">
        <f>X201-AD201-#REF!</f>
        <v>#REF!</v>
      </c>
      <c r="AF201" s="30">
        <f t="shared" si="125"/>
        <v>1494256</v>
      </c>
    </row>
    <row r="202" spans="2:32" s="55" customFormat="1" ht="12.75">
      <c r="B202" s="52" t="s">
        <v>70</v>
      </c>
      <c r="C202" s="52"/>
      <c r="D202" s="52"/>
      <c r="E202" s="52"/>
      <c r="F202" s="53"/>
      <c r="G202" s="53"/>
      <c r="H202" s="53"/>
      <c r="I202" s="53"/>
      <c r="J202" s="53"/>
      <c r="K202" s="54">
        <f aca="true" t="shared" si="132" ref="K202:V202">ROUND(SUM(K183:K201)/10,0)*10</f>
        <v>12050</v>
      </c>
      <c r="L202" s="54">
        <f t="shared" si="132"/>
        <v>12510</v>
      </c>
      <c r="M202" s="54">
        <f t="shared" si="132"/>
        <v>13070</v>
      </c>
      <c r="N202" s="54">
        <f t="shared" si="132"/>
        <v>12580</v>
      </c>
      <c r="O202" s="54">
        <f t="shared" si="132"/>
        <v>13810</v>
      </c>
      <c r="P202" s="54">
        <f t="shared" si="132"/>
        <v>13260</v>
      </c>
      <c r="Q202" s="54">
        <f t="shared" si="132"/>
        <v>15050</v>
      </c>
      <c r="R202" s="54">
        <f t="shared" si="132"/>
        <v>15070</v>
      </c>
      <c r="S202" s="54">
        <f t="shared" si="132"/>
        <v>13110</v>
      </c>
      <c r="T202" s="54">
        <f t="shared" si="132"/>
        <v>11700</v>
      </c>
      <c r="U202" s="54">
        <f t="shared" si="132"/>
        <v>12500</v>
      </c>
      <c r="V202" s="54">
        <f t="shared" si="132"/>
        <v>12980</v>
      </c>
      <c r="W202" s="54">
        <f aca="true" t="shared" si="133" ref="W202:AB202">SUM(W183:W201)</f>
        <v>157683</v>
      </c>
      <c r="X202" s="54">
        <f t="shared" si="133"/>
        <v>157683</v>
      </c>
      <c r="Y202" s="54">
        <f t="shared" si="133"/>
        <v>33915</v>
      </c>
      <c r="Z202" s="54">
        <f t="shared" si="133"/>
        <v>191598</v>
      </c>
      <c r="AA202" s="30">
        <f t="shared" si="133"/>
        <v>2702.75</v>
      </c>
      <c r="AB202" s="30">
        <f t="shared" si="133"/>
        <v>372.725</v>
      </c>
      <c r="AC202" s="30"/>
      <c r="AD202" s="59">
        <f>SUM(AD183:AD201)</f>
        <v>709444.8</v>
      </c>
      <c r="AE202" s="59" t="e">
        <f>SUM(AE183:AE201)</f>
        <v>#REF!</v>
      </c>
      <c r="AF202" s="55">
        <v>41520</v>
      </c>
    </row>
    <row r="203" spans="11:23" ht="12.75">
      <c r="K203" s="30">
        <v>13000</v>
      </c>
      <c r="L203" s="30">
        <v>13000</v>
      </c>
      <c r="M203" s="30">
        <v>13000</v>
      </c>
      <c r="N203" s="30">
        <v>13000</v>
      </c>
      <c r="O203" s="30">
        <v>15000</v>
      </c>
      <c r="P203" s="30">
        <v>15000</v>
      </c>
      <c r="Q203" s="30">
        <v>15000</v>
      </c>
      <c r="R203" s="30">
        <v>15000</v>
      </c>
      <c r="S203" s="30">
        <v>13000</v>
      </c>
      <c r="T203" s="30">
        <v>12000</v>
      </c>
      <c r="U203" s="30">
        <v>12000</v>
      </c>
      <c r="V203" s="30">
        <v>11000</v>
      </c>
      <c r="W203" s="58">
        <f>SUM(K203:V203)</f>
        <v>160000</v>
      </c>
    </row>
    <row r="204" spans="11:23" ht="12.75">
      <c r="K204" s="30">
        <v>60000</v>
      </c>
      <c r="L204" s="30">
        <v>60000</v>
      </c>
      <c r="M204" s="30">
        <v>62000</v>
      </c>
      <c r="N204" s="30">
        <v>61000</v>
      </c>
      <c r="O204" s="30">
        <v>70000</v>
      </c>
      <c r="P204" s="30">
        <v>70000</v>
      </c>
      <c r="Q204" s="30">
        <v>72000</v>
      </c>
      <c r="R204" s="30">
        <v>72000</v>
      </c>
      <c r="S204" s="30">
        <v>60000</v>
      </c>
      <c r="T204" s="30">
        <v>53000</v>
      </c>
      <c r="U204" s="30">
        <v>50000</v>
      </c>
      <c r="V204">
        <v>50000</v>
      </c>
      <c r="W204" s="58">
        <f>SUM(K204:V204)</f>
        <v>740000</v>
      </c>
    </row>
    <row r="205" spans="11:22" ht="12.75">
      <c r="K205" s="30">
        <f>K203-K202</f>
        <v>950</v>
      </c>
      <c r="L205" s="30">
        <f aca="true" t="shared" si="134" ref="L205:V205">L203-L202</f>
        <v>490</v>
      </c>
      <c r="M205" s="30">
        <f t="shared" si="134"/>
        <v>-70</v>
      </c>
      <c r="N205" s="30">
        <f t="shared" si="134"/>
        <v>420</v>
      </c>
      <c r="O205" s="30">
        <f t="shared" si="134"/>
        <v>1190</v>
      </c>
      <c r="P205" s="30">
        <f t="shared" si="134"/>
        <v>1740</v>
      </c>
      <c r="Q205" s="30">
        <f t="shared" si="134"/>
        <v>-50</v>
      </c>
      <c r="R205" s="30">
        <f t="shared" si="134"/>
        <v>-70</v>
      </c>
      <c r="S205" s="30">
        <f>S203-S202</f>
        <v>-110</v>
      </c>
      <c r="T205" s="30">
        <f t="shared" si="134"/>
        <v>300</v>
      </c>
      <c r="U205" s="30">
        <f t="shared" si="134"/>
        <v>-500</v>
      </c>
      <c r="V205" s="30">
        <f t="shared" si="134"/>
        <v>-1980</v>
      </c>
    </row>
    <row r="206" spans="11:21" ht="12.75"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1:22" ht="12.75">
      <c r="K207" s="30">
        <f>K204</f>
        <v>60000</v>
      </c>
      <c r="L207" s="30">
        <f aca="true" t="shared" si="135" ref="L207:V207">L204</f>
        <v>60000</v>
      </c>
      <c r="M207" s="30">
        <f t="shared" si="135"/>
        <v>62000</v>
      </c>
      <c r="N207" s="30">
        <f t="shared" si="135"/>
        <v>61000</v>
      </c>
      <c r="O207" s="30">
        <f t="shared" si="135"/>
        <v>70000</v>
      </c>
      <c r="P207" s="30">
        <f t="shared" si="135"/>
        <v>70000</v>
      </c>
      <c r="Q207" s="30">
        <f t="shared" si="135"/>
        <v>72000</v>
      </c>
      <c r="R207" s="30">
        <f t="shared" si="135"/>
        <v>72000</v>
      </c>
      <c r="S207" s="30">
        <f t="shared" si="135"/>
        <v>60000</v>
      </c>
      <c r="T207" s="30">
        <f t="shared" si="135"/>
        <v>53000</v>
      </c>
      <c r="U207" s="30">
        <f t="shared" si="135"/>
        <v>50000</v>
      </c>
      <c r="V207" s="30">
        <f t="shared" si="135"/>
        <v>50000</v>
      </c>
    </row>
    <row r="208" spans="11:22" ht="12.75">
      <c r="K208" s="30">
        <f>K203</f>
        <v>13000</v>
      </c>
      <c r="L208" s="30">
        <f aca="true" t="shared" si="136" ref="L208:V208">L203</f>
        <v>13000</v>
      </c>
      <c r="M208" s="30">
        <f t="shared" si="136"/>
        <v>13000</v>
      </c>
      <c r="N208" s="30">
        <f t="shared" si="136"/>
        <v>13000</v>
      </c>
      <c r="O208" s="30">
        <f t="shared" si="136"/>
        <v>15000</v>
      </c>
      <c r="P208" s="30">
        <f t="shared" si="136"/>
        <v>15000</v>
      </c>
      <c r="Q208" s="30">
        <f t="shared" si="136"/>
        <v>15000</v>
      </c>
      <c r="R208" s="30">
        <f t="shared" si="136"/>
        <v>15000</v>
      </c>
      <c r="S208" s="30">
        <f t="shared" si="136"/>
        <v>13000</v>
      </c>
      <c r="T208" s="30">
        <f t="shared" si="136"/>
        <v>12000</v>
      </c>
      <c r="U208" s="30">
        <f t="shared" si="136"/>
        <v>12000</v>
      </c>
      <c r="V208" s="30">
        <f t="shared" si="136"/>
        <v>11000</v>
      </c>
    </row>
    <row r="209" spans="11:21" ht="12.75"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1:21" ht="12.75"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</row>
    <row r="211" spans="11:21" ht="12.75"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11:21" ht="12.75"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1:21" ht="12.75"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1:21" ht="12.75"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</row>
    <row r="215" spans="11:21" ht="12.75"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1:21" ht="12.75"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</row>
    <row r="217" spans="11:21" ht="12.75"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1:21" ht="12.75"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1:21" ht="12.75"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</row>
    <row r="220" spans="11:21" ht="12.75"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1:21" ht="12.75"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</row>
    <row r="222" spans="11:21" ht="12.75"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</row>
    <row r="223" spans="11:21" ht="12.75"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</row>
    <row r="224" spans="11:21" ht="12.75"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</row>
    <row r="225" spans="11:21" ht="12.75"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11:21" ht="12.75"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</row>
    <row r="227" spans="11:21" ht="12.75"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</row>
    <row r="228" spans="11:21" ht="12.75"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</row>
    <row r="229" spans="11:21" ht="12.75"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1:21" ht="12.75"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</row>
    <row r="231" spans="11:21" ht="12.75"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</row>
    <row r="232" spans="11:21" ht="12.75"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</row>
    <row r="233" spans="11:21" ht="12.75"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</row>
    <row r="234" spans="11:21" ht="12.75"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</row>
    <row r="235" spans="11:21" ht="12.75"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1:21" ht="12.75"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</row>
    <row r="237" spans="11:21" ht="12.75"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</row>
    <row r="238" spans="11:21" ht="12.75"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</row>
    <row r="239" spans="11:21" ht="12.75"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</row>
    <row r="240" spans="11:21" ht="12.75"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1:21" ht="12.75"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</row>
    <row r="242" spans="11:21" ht="12.75"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</row>
    <row r="243" spans="11:21" ht="12.75"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</row>
    <row r="244" spans="11:21" ht="12.75"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1:21" ht="12.75"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</row>
    <row r="246" spans="11:21" ht="12.75"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</row>
    <row r="247" spans="11:21" ht="12.75"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</row>
    <row r="248" spans="11:21" ht="12.75"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</row>
    <row r="249" spans="11:21" ht="12.75"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</row>
    <row r="250" spans="11:21" ht="12.75"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</row>
    <row r="251" spans="11:21" ht="12.75"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</row>
    <row r="252" spans="11:21" ht="12.75"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</row>
    <row r="253" spans="11:21" ht="12.75"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</row>
    <row r="254" spans="11:21" ht="12.75"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</row>
    <row r="255" spans="11:21" ht="12.75"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</row>
    <row r="256" spans="11:21" ht="12.75"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11:21" ht="12.75"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  <row r="258" spans="11:21" ht="12.75"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</row>
    <row r="259" spans="11:21" ht="12.75"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</row>
    <row r="260" spans="11:21" ht="12.75"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</row>
    <row r="261" spans="11:21" ht="12.75"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</row>
    <row r="262" spans="11:21" ht="12.75"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</row>
    <row r="263" spans="11:21" ht="12.75"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</row>
    <row r="264" spans="11:21" ht="12.75"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</row>
    <row r="265" spans="11:21" ht="12.75"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</row>
    <row r="266" spans="11:21" ht="12.75"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</row>
    <row r="267" spans="11:21" ht="12.75"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</row>
    <row r="268" spans="11:21" ht="12.75"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</row>
    <row r="269" spans="11:21" ht="12.75"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</row>
    <row r="270" spans="11:21" ht="12.75"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</row>
    <row r="271" spans="11:21" ht="12.75"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</row>
    <row r="272" spans="11:21" ht="12.75"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</row>
    <row r="273" spans="11:21" ht="12.75"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</row>
    <row r="274" spans="11:21" ht="12.75"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</row>
    <row r="275" spans="11:21" ht="12.75"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</row>
    <row r="276" spans="11:21" ht="12.75"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</row>
    <row r="277" spans="11:21" ht="12.75"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</row>
    <row r="278" spans="11:21" ht="12.75"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</row>
    <row r="279" spans="11:21" ht="12.75"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</row>
    <row r="280" spans="11:21" ht="12.75"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</row>
    <row r="281" spans="11:21" ht="12.75"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</row>
    <row r="282" spans="11:21" ht="12.75"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</row>
    <row r="283" spans="11:21" ht="12.75"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</row>
    <row r="284" spans="11:21" ht="12.75"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</row>
    <row r="285" spans="11:21" ht="12.75"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</row>
    <row r="286" spans="11:21" ht="12.75"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</row>
    <row r="287" spans="11:21" ht="12.75"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</row>
    <row r="288" spans="11:21" ht="12.75"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</row>
    <row r="289" spans="11:21" ht="12.75"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</row>
    <row r="290" spans="11:21" ht="12.75"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</row>
    <row r="291" spans="11:21" ht="12.75"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</row>
    <row r="292" spans="11:21" ht="12.75"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1:21" ht="12.75"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</row>
    <row r="294" spans="11:21" ht="12.75"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</row>
    <row r="295" spans="11:21" ht="12.75"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</row>
    <row r="296" spans="11:21" ht="12.75"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</row>
    <row r="297" spans="11:21" ht="12.75"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</row>
    <row r="298" spans="11:21" ht="12.75"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</row>
    <row r="299" spans="11:21" ht="12.75"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</row>
    <row r="300" spans="11:21" ht="12.75"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  <row r="301" spans="11:21" ht="12.75"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</row>
    <row r="302" spans="11:21" ht="12.75"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</row>
    <row r="303" spans="11:21" ht="12.75"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</row>
    <row r="304" spans="11:21" ht="12.75"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</row>
    <row r="305" spans="11:21" ht="12.75"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</row>
    <row r="306" spans="11:21" ht="12.75"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</row>
    <row r="307" spans="11:21" ht="12.75"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</row>
    <row r="308" spans="11:21" ht="12.75"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</row>
    <row r="309" spans="11:21" ht="12.75"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</row>
    <row r="310" spans="11:21" ht="12.75"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</row>
    <row r="311" spans="11:21" ht="12.75"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</row>
    <row r="312" spans="11:21" ht="12.75"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</row>
    <row r="313" spans="11:21" ht="12.75"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</row>
    <row r="314" spans="11:21" ht="12.75"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</row>
    <row r="315" spans="11:21" ht="12.75"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</row>
    <row r="316" spans="11:21" ht="12.75"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</row>
    <row r="317" spans="11:21" ht="12.75"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</row>
  </sheetData>
  <sheetProtection/>
  <autoFilter ref="A5:Z175"/>
  <mergeCells count="192">
    <mergeCell ref="X153:X154"/>
    <mergeCell ref="Y153:Y154"/>
    <mergeCell ref="Z153:Z154"/>
    <mergeCell ref="T153:T154"/>
    <mergeCell ref="U153:U154"/>
    <mergeCell ref="V153:V154"/>
    <mergeCell ref="W153:W154"/>
    <mergeCell ref="N153:N154"/>
    <mergeCell ref="O153:O154"/>
    <mergeCell ref="P153:P154"/>
    <mergeCell ref="Q153:Q154"/>
    <mergeCell ref="R153:R154"/>
    <mergeCell ref="S153:S154"/>
    <mergeCell ref="F153:F154"/>
    <mergeCell ref="G153:I153"/>
    <mergeCell ref="J153:J154"/>
    <mergeCell ref="K153:K154"/>
    <mergeCell ref="L153:L154"/>
    <mergeCell ref="M153:M154"/>
    <mergeCell ref="X128:X129"/>
    <mergeCell ref="Y128:Y129"/>
    <mergeCell ref="V128:V129"/>
    <mergeCell ref="W128:W129"/>
    <mergeCell ref="Z128:Z129"/>
    <mergeCell ref="A153:A154"/>
    <mergeCell ref="B153:B154"/>
    <mergeCell ref="C153:C154"/>
    <mergeCell ref="D153:D154"/>
    <mergeCell ref="E153:E154"/>
    <mergeCell ref="P128:P129"/>
    <mergeCell ref="Q128:Q129"/>
    <mergeCell ref="R128:R129"/>
    <mergeCell ref="S128:S129"/>
    <mergeCell ref="T128:T129"/>
    <mergeCell ref="U128:U129"/>
    <mergeCell ref="J128:J129"/>
    <mergeCell ref="K128:K129"/>
    <mergeCell ref="L128:L129"/>
    <mergeCell ref="M128:M129"/>
    <mergeCell ref="N128:N129"/>
    <mergeCell ref="O128:O129"/>
    <mergeCell ref="X78:X79"/>
    <mergeCell ref="Y78:Y79"/>
    <mergeCell ref="Z78:Z79"/>
    <mergeCell ref="A128:A129"/>
    <mergeCell ref="B128:B129"/>
    <mergeCell ref="C128:C129"/>
    <mergeCell ref="D128:D129"/>
    <mergeCell ref="E128:E129"/>
    <mergeCell ref="F128:F129"/>
    <mergeCell ref="G128:I128"/>
    <mergeCell ref="R78:R79"/>
    <mergeCell ref="S78:S79"/>
    <mergeCell ref="T78:T79"/>
    <mergeCell ref="U78:U79"/>
    <mergeCell ref="V78:V79"/>
    <mergeCell ref="W78:W79"/>
    <mergeCell ref="L78:L79"/>
    <mergeCell ref="M78:M79"/>
    <mergeCell ref="N78:N79"/>
    <mergeCell ref="O78:O79"/>
    <mergeCell ref="P78:P79"/>
    <mergeCell ref="Q78:Q79"/>
    <mergeCell ref="Z103:Z104"/>
    <mergeCell ref="A78:A79"/>
    <mergeCell ref="B78:B79"/>
    <mergeCell ref="C78:C79"/>
    <mergeCell ref="D78:D79"/>
    <mergeCell ref="E78:E79"/>
    <mergeCell ref="F78:F79"/>
    <mergeCell ref="G78:I78"/>
    <mergeCell ref="J78:J79"/>
    <mergeCell ref="K78:K79"/>
    <mergeCell ref="T103:T104"/>
    <mergeCell ref="U103:U104"/>
    <mergeCell ref="X103:X104"/>
    <mergeCell ref="Y103:Y104"/>
    <mergeCell ref="V103:V104"/>
    <mergeCell ref="W103:W104"/>
    <mergeCell ref="Z53:Z54"/>
    <mergeCell ref="A103:A104"/>
    <mergeCell ref="B103:B104"/>
    <mergeCell ref="C103:C104"/>
    <mergeCell ref="D103:D104"/>
    <mergeCell ref="E103:E104"/>
    <mergeCell ref="F103:F104"/>
    <mergeCell ref="G103:I103"/>
    <mergeCell ref="R103:R104"/>
    <mergeCell ref="S103:S104"/>
    <mergeCell ref="T53:T54"/>
    <mergeCell ref="U53:U54"/>
    <mergeCell ref="V53:V54"/>
    <mergeCell ref="W53:W54"/>
    <mergeCell ref="X53:X54"/>
    <mergeCell ref="Y53:Y54"/>
    <mergeCell ref="N53:N54"/>
    <mergeCell ref="O53:O54"/>
    <mergeCell ref="P53:P54"/>
    <mergeCell ref="Q53:Q54"/>
    <mergeCell ref="R53:R54"/>
    <mergeCell ref="S53:S54"/>
    <mergeCell ref="F53:F54"/>
    <mergeCell ref="G53:I53"/>
    <mergeCell ref="J53:J54"/>
    <mergeCell ref="K53:K54"/>
    <mergeCell ref="L53:L54"/>
    <mergeCell ref="M53:M54"/>
    <mergeCell ref="X28:X29"/>
    <mergeCell ref="Y28:Y29"/>
    <mergeCell ref="V28:V29"/>
    <mergeCell ref="W28:W29"/>
    <mergeCell ref="Z28:Z29"/>
    <mergeCell ref="A53:A54"/>
    <mergeCell ref="B53:B54"/>
    <mergeCell ref="C53:C54"/>
    <mergeCell ref="D53:D54"/>
    <mergeCell ref="E53:E54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P103:P104"/>
    <mergeCell ref="Q103:Q104"/>
    <mergeCell ref="L3:L4"/>
    <mergeCell ref="M3:M4"/>
    <mergeCell ref="N3:N4"/>
    <mergeCell ref="A28:A29"/>
    <mergeCell ref="B28:B29"/>
    <mergeCell ref="C28:C29"/>
    <mergeCell ref="D28:D29"/>
    <mergeCell ref="E28:E29"/>
    <mergeCell ref="J103:J104"/>
    <mergeCell ref="K103:K104"/>
    <mergeCell ref="L103:L104"/>
    <mergeCell ref="M103:M104"/>
    <mergeCell ref="N103:N104"/>
    <mergeCell ref="O103:O104"/>
    <mergeCell ref="O3:O4"/>
    <mergeCell ref="X3:X4"/>
    <mergeCell ref="V3:V4"/>
    <mergeCell ref="W3:W4"/>
    <mergeCell ref="P3:P4"/>
    <mergeCell ref="Q3:Q4"/>
    <mergeCell ref="R3:R4"/>
    <mergeCell ref="S3:S4"/>
    <mergeCell ref="T3:T4"/>
    <mergeCell ref="U3:U4"/>
    <mergeCell ref="Y3:Y4"/>
    <mergeCell ref="Z3:Z4"/>
    <mergeCell ref="B3:B4"/>
    <mergeCell ref="A3:A4"/>
    <mergeCell ref="K3:K4"/>
    <mergeCell ref="F3:F4"/>
    <mergeCell ref="J3:J4"/>
    <mergeCell ref="E3:E4"/>
    <mergeCell ref="D3:D4"/>
    <mergeCell ref="C3:C4"/>
    <mergeCell ref="G3:I3"/>
    <mergeCell ref="A180:A181"/>
    <mergeCell ref="B180:B181"/>
    <mergeCell ref="C180:C181"/>
    <mergeCell ref="D180:D181"/>
    <mergeCell ref="E180:E181"/>
    <mergeCell ref="F180:F181"/>
    <mergeCell ref="G180:I180"/>
    <mergeCell ref="F28:F29"/>
    <mergeCell ref="G28:I28"/>
    <mergeCell ref="N180:N181"/>
    <mergeCell ref="O180:O181"/>
    <mergeCell ref="P180:P181"/>
    <mergeCell ref="Q180:Q181"/>
    <mergeCell ref="J180:J181"/>
    <mergeCell ref="K180:K181"/>
    <mergeCell ref="L180:L181"/>
    <mergeCell ref="M180:M181"/>
    <mergeCell ref="Z180:Z181"/>
    <mergeCell ref="V180:V181"/>
    <mergeCell ref="W180:W181"/>
    <mergeCell ref="X180:X181"/>
    <mergeCell ref="Y180:Y181"/>
    <mergeCell ref="R180:R181"/>
    <mergeCell ref="S180:S181"/>
    <mergeCell ref="T180:T181"/>
    <mergeCell ref="U180:U18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F317"/>
  <sheetViews>
    <sheetView view="pageBreakPreview" zoomScaleSheetLayoutView="100" zoomScalePageLayoutView="0" workbookViewId="0" topLeftCell="A1">
      <pane xSplit="2" ySplit="5" topLeftCell="C139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Y178" sqref="Y178"/>
    </sheetView>
  </sheetViews>
  <sheetFormatPr defaultColWidth="9.00390625" defaultRowHeight="12.75"/>
  <cols>
    <col min="1" max="1" width="2.875" style="0" customWidth="1"/>
    <col min="2" max="2" width="27.625" style="0" customWidth="1"/>
    <col min="3" max="3" width="16.375" style="0" customWidth="1"/>
    <col min="4" max="4" width="7.375" style="0" hidden="1" customWidth="1"/>
    <col min="5" max="5" width="7.125" style="0" hidden="1" customWidth="1"/>
    <col min="6" max="6" width="4.875" style="0" hidden="1" customWidth="1"/>
    <col min="7" max="7" width="10.25390625" style="0" hidden="1" customWidth="1"/>
    <col min="8" max="8" width="8.00390625" style="0" hidden="1" customWidth="1"/>
    <col min="9" max="9" width="8.375" style="0" hidden="1" customWidth="1"/>
    <col min="10" max="10" width="5.75390625" style="0" hidden="1" customWidth="1"/>
    <col min="11" max="11" width="9.625" style="0" bestFit="1" customWidth="1"/>
    <col min="12" max="14" width="9.625" style="0" customWidth="1"/>
    <col min="15" max="15" width="9.625" style="0" bestFit="1" customWidth="1"/>
    <col min="16" max="21" width="9.625" style="0" customWidth="1"/>
    <col min="22" max="22" width="9.625" style="0" bestFit="1" customWidth="1"/>
    <col min="23" max="23" width="10.875" style="38" customWidth="1"/>
    <col min="24" max="24" width="12.00390625" style="38" customWidth="1"/>
    <col min="25" max="25" width="11.375" style="38" customWidth="1"/>
    <col min="26" max="26" width="10.625" style="38" customWidth="1"/>
    <col min="27" max="27" width="0.37109375" style="0" customWidth="1"/>
    <col min="28" max="29" width="9.125" style="0" hidden="1" customWidth="1"/>
    <col min="30" max="30" width="9.625" style="0" hidden="1" customWidth="1"/>
    <col min="31" max="31" width="9.125" style="0" hidden="1" customWidth="1"/>
  </cols>
  <sheetData>
    <row r="1" ht="12.75">
      <c r="B1" t="s">
        <v>122</v>
      </c>
    </row>
    <row r="2" ht="15.75">
      <c r="B2" s="62" t="s">
        <v>135</v>
      </c>
    </row>
    <row r="3" spans="1:26" s="39" customFormat="1" ht="12" customHeight="1">
      <c r="A3" s="106" t="s">
        <v>62</v>
      </c>
      <c r="B3" s="106" t="s">
        <v>63</v>
      </c>
      <c r="C3" s="110" t="s">
        <v>64</v>
      </c>
      <c r="D3" s="110" t="s">
        <v>65</v>
      </c>
      <c r="E3" s="106" t="s">
        <v>66</v>
      </c>
      <c r="F3" s="112" t="s">
        <v>67</v>
      </c>
      <c r="G3" s="107" t="s">
        <v>111</v>
      </c>
      <c r="H3" s="108"/>
      <c r="I3" s="109"/>
      <c r="J3" s="106" t="s">
        <v>68</v>
      </c>
      <c r="K3" s="102" t="s">
        <v>124</v>
      </c>
      <c r="L3" s="102" t="s">
        <v>125</v>
      </c>
      <c r="M3" s="102" t="s">
        <v>126</v>
      </c>
      <c r="N3" s="102" t="s">
        <v>127</v>
      </c>
      <c r="O3" s="102" t="s">
        <v>128</v>
      </c>
      <c r="P3" s="102" t="s">
        <v>129</v>
      </c>
      <c r="Q3" s="102" t="s">
        <v>130</v>
      </c>
      <c r="R3" s="102" t="s">
        <v>131</v>
      </c>
      <c r="S3" s="102" t="s">
        <v>132</v>
      </c>
      <c r="T3" s="102" t="s">
        <v>133</v>
      </c>
      <c r="U3" s="102" t="s">
        <v>134</v>
      </c>
      <c r="V3" s="102" t="s">
        <v>69</v>
      </c>
      <c r="W3" s="104" t="s">
        <v>70</v>
      </c>
      <c r="X3" s="105">
        <v>1110</v>
      </c>
      <c r="Y3" s="105">
        <v>1120</v>
      </c>
      <c r="Z3" s="101" t="s">
        <v>71</v>
      </c>
    </row>
    <row r="4" spans="1:26" s="39" customFormat="1" ht="29.25" customHeight="1">
      <c r="A4" s="106"/>
      <c r="B4" s="106"/>
      <c r="C4" s="111"/>
      <c r="D4" s="111"/>
      <c r="E4" s="106"/>
      <c r="F4" s="113"/>
      <c r="G4" s="40" t="s">
        <v>112</v>
      </c>
      <c r="H4" s="40" t="s">
        <v>113</v>
      </c>
      <c r="I4" s="40" t="s">
        <v>114</v>
      </c>
      <c r="J4" s="10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4"/>
      <c r="X4" s="105"/>
      <c r="Y4" s="105"/>
      <c r="Z4" s="101"/>
    </row>
    <row r="5" spans="1:26" ht="12.75">
      <c r="A5" s="41"/>
      <c r="B5" s="42">
        <v>120300</v>
      </c>
      <c r="C5" s="42"/>
      <c r="D5" s="41"/>
      <c r="E5" s="41"/>
      <c r="F5" s="41"/>
      <c r="G5" s="41"/>
      <c r="H5" s="41"/>
      <c r="I5" s="41"/>
      <c r="J5" s="41"/>
      <c r="K5" s="41">
        <f>ROUND(ROUND(G5*J5,0)*F5,0)*2</f>
        <v>0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3"/>
      <c r="X5" s="45"/>
      <c r="Y5" s="45"/>
      <c r="Z5" s="46"/>
    </row>
    <row r="6" spans="1:32" ht="12.75">
      <c r="A6" s="41">
        <v>1</v>
      </c>
      <c r="B6" s="45" t="s">
        <v>37</v>
      </c>
      <c r="C6" s="41"/>
      <c r="D6" s="41">
        <v>14</v>
      </c>
      <c r="E6" s="41">
        <v>1</v>
      </c>
      <c r="F6" s="41">
        <v>1</v>
      </c>
      <c r="G6" s="41">
        <v>1600</v>
      </c>
      <c r="H6" s="41">
        <v>1684</v>
      </c>
      <c r="I6" s="41">
        <v>1762</v>
      </c>
      <c r="J6" s="41">
        <v>2.42</v>
      </c>
      <c r="K6" s="47"/>
      <c r="L6" s="47">
        <f>ROUND(ROUND(G6*J6,0)*F6,0)*E6</f>
        <v>3872</v>
      </c>
      <c r="M6" s="47">
        <f aca="true" t="shared" si="0" ref="M6:N20">L6</f>
        <v>3872</v>
      </c>
      <c r="N6" s="47">
        <f t="shared" si="0"/>
        <v>3872</v>
      </c>
      <c r="O6" s="47">
        <f>ROUND(ROUND(H6*J6,0)*F6,0)*E6</f>
        <v>4075</v>
      </c>
      <c r="P6" s="47">
        <f aca="true" t="shared" si="1" ref="P6:U6">O6</f>
        <v>4075</v>
      </c>
      <c r="Q6" s="47">
        <f t="shared" si="1"/>
        <v>4075</v>
      </c>
      <c r="R6" s="47">
        <f t="shared" si="1"/>
        <v>4075</v>
      </c>
      <c r="S6" s="47">
        <f t="shared" si="1"/>
        <v>4075</v>
      </c>
      <c r="T6" s="47">
        <f t="shared" si="1"/>
        <v>4075</v>
      </c>
      <c r="U6" s="47">
        <f t="shared" si="1"/>
        <v>4075</v>
      </c>
      <c r="V6" s="44">
        <f aca="true" t="shared" si="2" ref="V6:V24">ROUND(ROUND(I6*J6,0)*F6,0)*E6</f>
        <v>4264</v>
      </c>
      <c r="W6" s="57">
        <f>SUM(K6:V6)</f>
        <v>44405</v>
      </c>
      <c r="X6" s="48"/>
      <c r="Y6" s="49"/>
      <c r="Z6" s="50"/>
      <c r="AA6" s="30">
        <f aca="true" t="shared" si="3" ref="AA6:AA24">K6/4</f>
        <v>0</v>
      </c>
      <c r="AB6" s="30">
        <f>AA6*0.3</f>
        <v>0</v>
      </c>
      <c r="AC6" s="30"/>
      <c r="AD6" s="60">
        <f>'[2]01.01.17(з мінім)'!$M$26</f>
        <v>60403.200000000004</v>
      </c>
      <c r="AE6" s="30" t="e">
        <f>X6-AD6-#REF!</f>
        <v>#REF!</v>
      </c>
      <c r="AF6">
        <f aca="true" t="shared" si="4" ref="AF6:AF24">W6/12</f>
        <v>3700.4166666666665</v>
      </c>
    </row>
    <row r="7" spans="1:32" ht="12.75">
      <c r="A7" s="41">
        <v>2</v>
      </c>
      <c r="B7" s="66" t="s">
        <v>72</v>
      </c>
      <c r="C7" s="51" t="s">
        <v>73</v>
      </c>
      <c r="D7" s="41" t="s">
        <v>74</v>
      </c>
      <c r="E7" s="41">
        <v>1</v>
      </c>
      <c r="F7" s="41">
        <v>0.9</v>
      </c>
      <c r="G7" s="41">
        <v>1600</v>
      </c>
      <c r="H7" s="41">
        <v>1684</v>
      </c>
      <c r="I7" s="41">
        <v>1762</v>
      </c>
      <c r="J7" s="41">
        <v>2.42</v>
      </c>
      <c r="K7" s="47">
        <f aca="true" t="shared" si="5" ref="K7:K24">ROUND(ROUND(G7*J7,0)*F7,0)*E7</f>
        <v>3485</v>
      </c>
      <c r="L7" s="47">
        <f>K7</f>
        <v>3485</v>
      </c>
      <c r="M7" s="47">
        <f t="shared" si="0"/>
        <v>3485</v>
      </c>
      <c r="N7" s="47">
        <f t="shared" si="0"/>
        <v>3485</v>
      </c>
      <c r="O7" s="47">
        <f aca="true" t="shared" si="6" ref="O7:O24">ROUND(ROUND(H7*J7,0)*F7,0)*E7</f>
        <v>3668</v>
      </c>
      <c r="P7" s="47">
        <f aca="true" t="shared" si="7" ref="P7:U24">O7</f>
        <v>3668</v>
      </c>
      <c r="Q7" s="47">
        <f t="shared" si="7"/>
        <v>3668</v>
      </c>
      <c r="R7" s="47">
        <f t="shared" si="7"/>
        <v>3668</v>
      </c>
      <c r="S7" s="47">
        <f t="shared" si="7"/>
        <v>3668</v>
      </c>
      <c r="T7" s="47">
        <f t="shared" si="7"/>
        <v>3668</v>
      </c>
      <c r="U7" s="47">
        <f t="shared" si="7"/>
        <v>3668</v>
      </c>
      <c r="V7" s="44">
        <f t="shared" si="2"/>
        <v>3838</v>
      </c>
      <c r="W7" s="57">
        <f aca="true" t="shared" si="8" ref="W7:W19">SUM(K7:V7)</f>
        <v>43454</v>
      </c>
      <c r="X7" s="48"/>
      <c r="Y7" s="49"/>
      <c r="Z7" s="50"/>
      <c r="AA7" s="30">
        <f t="shared" si="3"/>
        <v>871.25</v>
      </c>
      <c r="AB7" s="30">
        <f>AA7*0.3</f>
        <v>261.375</v>
      </c>
      <c r="AC7" s="30"/>
      <c r="AD7" s="60">
        <f>'[2]01.01.17(з мінім)'!$M$27</f>
        <v>54366</v>
      </c>
      <c r="AE7" s="30" t="e">
        <f>X7-AD7-#REF!</f>
        <v>#REF!</v>
      </c>
      <c r="AF7">
        <f t="shared" si="4"/>
        <v>3621.1666666666665</v>
      </c>
    </row>
    <row r="8" spans="1:32" ht="12.75">
      <c r="A8" s="41">
        <v>3</v>
      </c>
      <c r="B8" s="67" t="s">
        <v>75</v>
      </c>
      <c r="C8" s="41" t="s">
        <v>76</v>
      </c>
      <c r="D8" s="41" t="s">
        <v>115</v>
      </c>
      <c r="E8" s="41">
        <v>1</v>
      </c>
      <c r="F8" s="41">
        <v>0.95</v>
      </c>
      <c r="G8" s="41">
        <v>1600</v>
      </c>
      <c r="H8" s="41">
        <v>1684</v>
      </c>
      <c r="I8" s="41">
        <v>1762</v>
      </c>
      <c r="J8" s="41">
        <v>2.42</v>
      </c>
      <c r="K8" s="47"/>
      <c r="L8" s="47">
        <f>ROUND(ROUND(G8*J8,0)*F8,0)*E8</f>
        <v>3678</v>
      </c>
      <c r="M8" s="47">
        <f t="shared" si="0"/>
        <v>3678</v>
      </c>
      <c r="N8" s="47">
        <f t="shared" si="0"/>
        <v>3678</v>
      </c>
      <c r="O8" s="47">
        <f t="shared" si="6"/>
        <v>3871</v>
      </c>
      <c r="P8" s="47">
        <f t="shared" si="7"/>
        <v>3871</v>
      </c>
      <c r="Q8" s="47">
        <f t="shared" si="7"/>
        <v>3871</v>
      </c>
      <c r="R8" s="47">
        <f t="shared" si="7"/>
        <v>3871</v>
      </c>
      <c r="S8" s="47">
        <f t="shared" si="7"/>
        <v>3871</v>
      </c>
      <c r="T8" s="47">
        <f t="shared" si="7"/>
        <v>3871</v>
      </c>
      <c r="U8" s="47">
        <f t="shared" si="7"/>
        <v>3871</v>
      </c>
      <c r="V8" s="44">
        <f t="shared" si="2"/>
        <v>4051</v>
      </c>
      <c r="W8" s="57">
        <f t="shared" si="8"/>
        <v>42182</v>
      </c>
      <c r="X8" s="48"/>
      <c r="Y8" s="49"/>
      <c r="Z8" s="50"/>
      <c r="AA8" s="30">
        <f t="shared" si="3"/>
        <v>0</v>
      </c>
      <c r="AB8" s="30">
        <f>AA8*0.3</f>
        <v>0</v>
      </c>
      <c r="AC8" s="30"/>
      <c r="AD8" s="61">
        <v>57376.8</v>
      </c>
      <c r="AE8" s="30" t="e">
        <f>X8-AD8-#REF!</f>
        <v>#REF!</v>
      </c>
      <c r="AF8">
        <f t="shared" si="4"/>
        <v>3515.1666666666665</v>
      </c>
    </row>
    <row r="9" spans="1:32" ht="12.75">
      <c r="A9" s="41">
        <v>4</v>
      </c>
      <c r="B9" s="67" t="s">
        <v>77</v>
      </c>
      <c r="C9" s="41" t="s">
        <v>78</v>
      </c>
      <c r="D9" s="41">
        <v>11</v>
      </c>
      <c r="E9" s="41">
        <v>1</v>
      </c>
      <c r="F9" s="41">
        <v>1</v>
      </c>
      <c r="G9" s="41">
        <v>1600</v>
      </c>
      <c r="H9" s="41">
        <v>1684</v>
      </c>
      <c r="I9" s="41">
        <v>1762</v>
      </c>
      <c r="J9" s="41">
        <v>1.97</v>
      </c>
      <c r="K9" s="47">
        <f t="shared" si="5"/>
        <v>3152</v>
      </c>
      <c r="L9" s="47">
        <f aca="true" t="shared" si="9" ref="L9:L17">K9</f>
        <v>3152</v>
      </c>
      <c r="M9" s="47">
        <f t="shared" si="0"/>
        <v>3152</v>
      </c>
      <c r="N9" s="47">
        <f t="shared" si="0"/>
        <v>3152</v>
      </c>
      <c r="O9" s="47">
        <f t="shared" si="6"/>
        <v>3317</v>
      </c>
      <c r="P9" s="47">
        <f t="shared" si="7"/>
        <v>3317</v>
      </c>
      <c r="Q9" s="47">
        <f t="shared" si="7"/>
        <v>3317</v>
      </c>
      <c r="R9" s="47">
        <f t="shared" si="7"/>
        <v>3317</v>
      </c>
      <c r="S9" s="47">
        <f t="shared" si="7"/>
        <v>3317</v>
      </c>
      <c r="T9" s="47">
        <f t="shared" si="7"/>
        <v>3317</v>
      </c>
      <c r="U9" s="47">
        <f t="shared" si="7"/>
        <v>3317</v>
      </c>
      <c r="V9" s="44">
        <f t="shared" si="2"/>
        <v>3471</v>
      </c>
      <c r="W9" s="57">
        <f t="shared" si="8"/>
        <v>39298</v>
      </c>
      <c r="X9" s="48"/>
      <c r="Y9" s="49"/>
      <c r="Z9" s="50"/>
      <c r="AA9" s="30">
        <f t="shared" si="3"/>
        <v>788</v>
      </c>
      <c r="AB9" s="30">
        <f aca="true" t="shared" si="10" ref="AB9:AB15">AA9*0.1</f>
        <v>78.80000000000001</v>
      </c>
      <c r="AC9" s="30"/>
      <c r="AD9" s="30">
        <f>'[2]01.01.17(з мінім)'!$M$30</f>
        <v>42240</v>
      </c>
      <c r="AE9" s="30" t="e">
        <f>X9-AD9-#REF!</f>
        <v>#REF!</v>
      </c>
      <c r="AF9">
        <f t="shared" si="4"/>
        <v>3274.8333333333335</v>
      </c>
    </row>
    <row r="10" spans="1:32" ht="12.75">
      <c r="A10" s="41">
        <v>5</v>
      </c>
      <c r="B10" s="67" t="s">
        <v>77</v>
      </c>
      <c r="C10" s="41" t="s">
        <v>79</v>
      </c>
      <c r="D10" s="41">
        <v>11</v>
      </c>
      <c r="E10" s="41">
        <v>1</v>
      </c>
      <c r="F10" s="41">
        <v>1</v>
      </c>
      <c r="G10" s="41">
        <v>1600</v>
      </c>
      <c r="H10" s="41">
        <v>1684</v>
      </c>
      <c r="I10" s="41">
        <v>1762</v>
      </c>
      <c r="J10" s="41">
        <v>1.97</v>
      </c>
      <c r="K10" s="47">
        <f t="shared" si="5"/>
        <v>3152</v>
      </c>
      <c r="L10" s="47">
        <f t="shared" si="9"/>
        <v>3152</v>
      </c>
      <c r="M10" s="47">
        <f t="shared" si="0"/>
        <v>3152</v>
      </c>
      <c r="N10" s="47">
        <f t="shared" si="0"/>
        <v>3152</v>
      </c>
      <c r="O10" s="47">
        <f t="shared" si="6"/>
        <v>3317</v>
      </c>
      <c r="P10" s="47">
        <f t="shared" si="7"/>
        <v>3317</v>
      </c>
      <c r="Q10" s="47">
        <f t="shared" si="7"/>
        <v>3317</v>
      </c>
      <c r="R10" s="47">
        <f t="shared" si="7"/>
        <v>3317</v>
      </c>
      <c r="S10" s="47">
        <f t="shared" si="7"/>
        <v>3317</v>
      </c>
      <c r="T10" s="47">
        <f t="shared" si="7"/>
        <v>3317</v>
      </c>
      <c r="U10" s="47">
        <f t="shared" si="7"/>
        <v>3317</v>
      </c>
      <c r="V10" s="44">
        <f t="shared" si="2"/>
        <v>3471</v>
      </c>
      <c r="W10" s="57">
        <f t="shared" si="8"/>
        <v>39298</v>
      </c>
      <c r="X10" s="48"/>
      <c r="Y10" s="49"/>
      <c r="Z10" s="50"/>
      <c r="AA10" s="30">
        <f t="shared" si="3"/>
        <v>788</v>
      </c>
      <c r="AB10" s="30">
        <f t="shared" si="10"/>
        <v>78.80000000000001</v>
      </c>
      <c r="AC10" s="30"/>
      <c r="AD10" s="30">
        <f>AD9</f>
        <v>42240</v>
      </c>
      <c r="AE10" s="30" t="e">
        <f>X10-AD10-#REF!</f>
        <v>#REF!</v>
      </c>
      <c r="AF10">
        <f t="shared" si="4"/>
        <v>3274.8333333333335</v>
      </c>
    </row>
    <row r="11" spans="1:32" ht="12.75">
      <c r="A11" s="41">
        <v>6</v>
      </c>
      <c r="B11" s="67" t="s">
        <v>80</v>
      </c>
      <c r="C11" s="41" t="s">
        <v>81</v>
      </c>
      <c r="D11" s="41">
        <v>11</v>
      </c>
      <c r="E11" s="41">
        <v>1</v>
      </c>
      <c r="F11" s="41">
        <v>1</v>
      </c>
      <c r="G11" s="41">
        <v>1600</v>
      </c>
      <c r="H11" s="41">
        <v>1684</v>
      </c>
      <c r="I11" s="41">
        <v>1762</v>
      </c>
      <c r="J11" s="41">
        <v>1.54</v>
      </c>
      <c r="K11" s="47">
        <f t="shared" si="5"/>
        <v>2464</v>
      </c>
      <c r="L11" s="47">
        <f t="shared" si="9"/>
        <v>2464</v>
      </c>
      <c r="M11" s="47">
        <f t="shared" si="0"/>
        <v>2464</v>
      </c>
      <c r="N11" s="47">
        <f t="shared" si="0"/>
        <v>2464</v>
      </c>
      <c r="O11" s="47">
        <f t="shared" si="6"/>
        <v>2593</v>
      </c>
      <c r="P11" s="47">
        <f t="shared" si="7"/>
        <v>2593</v>
      </c>
      <c r="Q11" s="47">
        <f t="shared" si="7"/>
        <v>2593</v>
      </c>
      <c r="R11" s="47">
        <f t="shared" si="7"/>
        <v>2593</v>
      </c>
      <c r="S11" s="47">
        <f t="shared" si="7"/>
        <v>2593</v>
      </c>
      <c r="T11" s="47">
        <f t="shared" si="7"/>
        <v>2593</v>
      </c>
      <c r="U11" s="47">
        <f t="shared" si="7"/>
        <v>2593</v>
      </c>
      <c r="V11" s="44">
        <f t="shared" si="2"/>
        <v>2713</v>
      </c>
      <c r="W11" s="57">
        <f t="shared" si="8"/>
        <v>30720</v>
      </c>
      <c r="X11" s="48"/>
      <c r="Y11" s="49"/>
      <c r="Z11" s="50"/>
      <c r="AA11" s="30">
        <f t="shared" si="3"/>
        <v>616</v>
      </c>
      <c r="AB11" s="30">
        <f t="shared" si="10"/>
        <v>61.6</v>
      </c>
      <c r="AC11" s="30"/>
      <c r="AD11" s="30">
        <f>AD10</f>
        <v>42240</v>
      </c>
      <c r="AE11" s="30" t="e">
        <f>X11-AD11-#REF!</f>
        <v>#REF!</v>
      </c>
      <c r="AF11">
        <f t="shared" si="4"/>
        <v>2560</v>
      </c>
    </row>
    <row r="12" spans="1:32" ht="12.75">
      <c r="A12" s="41">
        <v>7</v>
      </c>
      <c r="B12" s="68" t="s">
        <v>80</v>
      </c>
      <c r="C12" s="41" t="s">
        <v>82</v>
      </c>
      <c r="D12" s="41">
        <v>8</v>
      </c>
      <c r="E12" s="41">
        <v>1</v>
      </c>
      <c r="F12" s="41">
        <v>1</v>
      </c>
      <c r="G12" s="41">
        <v>1600</v>
      </c>
      <c r="H12" s="41">
        <v>1684</v>
      </c>
      <c r="I12" s="41">
        <v>1762</v>
      </c>
      <c r="J12" s="41">
        <v>1.54</v>
      </c>
      <c r="K12" s="47">
        <f t="shared" si="5"/>
        <v>2464</v>
      </c>
      <c r="L12" s="47">
        <f t="shared" si="9"/>
        <v>2464</v>
      </c>
      <c r="M12" s="47">
        <f t="shared" si="0"/>
        <v>2464</v>
      </c>
      <c r="N12" s="47">
        <f t="shared" si="0"/>
        <v>2464</v>
      </c>
      <c r="O12" s="47">
        <f t="shared" si="6"/>
        <v>2593</v>
      </c>
      <c r="P12" s="47">
        <f t="shared" si="7"/>
        <v>2593</v>
      </c>
      <c r="Q12" s="47">
        <f t="shared" si="7"/>
        <v>2593</v>
      </c>
      <c r="R12" s="47">
        <f t="shared" si="7"/>
        <v>2593</v>
      </c>
      <c r="S12" s="47">
        <f t="shared" si="7"/>
        <v>2593</v>
      </c>
      <c r="T12" s="47">
        <f t="shared" si="7"/>
        <v>2593</v>
      </c>
      <c r="U12" s="47">
        <f t="shared" si="7"/>
        <v>2593</v>
      </c>
      <c r="V12" s="44">
        <f t="shared" si="2"/>
        <v>2713</v>
      </c>
      <c r="W12" s="57">
        <f t="shared" si="8"/>
        <v>30720</v>
      </c>
      <c r="X12" s="48"/>
      <c r="Y12" s="49"/>
      <c r="Z12" s="50"/>
      <c r="AA12" s="30">
        <f t="shared" si="3"/>
        <v>616</v>
      </c>
      <c r="AB12" s="30">
        <f t="shared" si="10"/>
        <v>61.6</v>
      </c>
      <c r="AC12" s="30"/>
      <c r="AD12">
        <v>48000</v>
      </c>
      <c r="AE12" s="30" t="e">
        <f>X12-AD12-#REF!</f>
        <v>#REF!</v>
      </c>
      <c r="AF12">
        <f t="shared" si="4"/>
        <v>2560</v>
      </c>
    </row>
    <row r="13" spans="1:32" ht="12.75">
      <c r="A13" s="41">
        <v>8</v>
      </c>
      <c r="B13" s="68" t="s">
        <v>83</v>
      </c>
      <c r="C13" s="41" t="s">
        <v>143</v>
      </c>
      <c r="D13" s="41" t="s">
        <v>74</v>
      </c>
      <c r="E13" s="41">
        <v>1</v>
      </c>
      <c r="F13" s="41">
        <v>0.9</v>
      </c>
      <c r="G13" s="41">
        <v>1600</v>
      </c>
      <c r="H13" s="41">
        <v>1684</v>
      </c>
      <c r="I13" s="41">
        <v>1762</v>
      </c>
      <c r="J13" s="41">
        <v>2.42</v>
      </c>
      <c r="K13" s="47">
        <f t="shared" si="5"/>
        <v>3485</v>
      </c>
      <c r="L13" s="47">
        <f t="shared" si="9"/>
        <v>3485</v>
      </c>
      <c r="M13" s="47">
        <f t="shared" si="0"/>
        <v>3485</v>
      </c>
      <c r="N13" s="47">
        <f t="shared" si="0"/>
        <v>3485</v>
      </c>
      <c r="O13" s="47">
        <f t="shared" si="6"/>
        <v>3668</v>
      </c>
      <c r="P13" s="47">
        <f t="shared" si="7"/>
        <v>3668</v>
      </c>
      <c r="Q13" s="47">
        <f t="shared" si="7"/>
        <v>3668</v>
      </c>
      <c r="R13" s="47">
        <f t="shared" si="7"/>
        <v>3668</v>
      </c>
      <c r="S13" s="47">
        <f t="shared" si="7"/>
        <v>3668</v>
      </c>
      <c r="T13" s="47">
        <f t="shared" si="7"/>
        <v>3668</v>
      </c>
      <c r="U13" s="47">
        <f t="shared" si="7"/>
        <v>3668</v>
      </c>
      <c r="V13" s="44">
        <f t="shared" si="2"/>
        <v>3838</v>
      </c>
      <c r="W13" s="57">
        <f t="shared" si="8"/>
        <v>43454</v>
      </c>
      <c r="X13" s="48"/>
      <c r="Y13" s="49"/>
      <c r="Z13" s="50"/>
      <c r="AA13" s="30">
        <f t="shared" si="3"/>
        <v>871.25</v>
      </c>
      <c r="AB13" s="30">
        <f t="shared" si="10"/>
        <v>87.125</v>
      </c>
      <c r="AC13" s="30"/>
      <c r="AD13">
        <v>46002</v>
      </c>
      <c r="AE13" s="30" t="e">
        <f>X13-AD13-#REF!</f>
        <v>#REF!</v>
      </c>
      <c r="AF13">
        <f t="shared" si="4"/>
        <v>3621.1666666666665</v>
      </c>
    </row>
    <row r="14" spans="1:32" ht="12.75">
      <c r="A14" s="41">
        <v>9</v>
      </c>
      <c r="B14" s="68" t="s">
        <v>77</v>
      </c>
      <c r="C14" s="41" t="s">
        <v>84</v>
      </c>
      <c r="D14" s="41">
        <v>11</v>
      </c>
      <c r="E14" s="41">
        <v>1</v>
      </c>
      <c r="F14" s="41">
        <v>1</v>
      </c>
      <c r="G14" s="41">
        <v>1600</v>
      </c>
      <c r="H14" s="41">
        <v>1684</v>
      </c>
      <c r="I14" s="41">
        <v>1762</v>
      </c>
      <c r="J14" s="41">
        <v>1.97</v>
      </c>
      <c r="K14" s="47">
        <f t="shared" si="5"/>
        <v>3152</v>
      </c>
      <c r="L14" s="47">
        <f t="shared" si="9"/>
        <v>3152</v>
      </c>
      <c r="M14" s="47">
        <f t="shared" si="0"/>
        <v>3152</v>
      </c>
      <c r="N14" s="47">
        <f t="shared" si="0"/>
        <v>3152</v>
      </c>
      <c r="O14" s="47">
        <f t="shared" si="6"/>
        <v>3317</v>
      </c>
      <c r="P14" s="47">
        <f t="shared" si="7"/>
        <v>3317</v>
      </c>
      <c r="Q14" s="47">
        <f t="shared" si="7"/>
        <v>3317</v>
      </c>
      <c r="R14" s="47">
        <f t="shared" si="7"/>
        <v>3317</v>
      </c>
      <c r="S14" s="47">
        <f t="shared" si="7"/>
        <v>3317</v>
      </c>
      <c r="T14" s="47">
        <f t="shared" si="7"/>
        <v>3317</v>
      </c>
      <c r="U14" s="47">
        <f t="shared" si="7"/>
        <v>3317</v>
      </c>
      <c r="V14" s="44">
        <f t="shared" si="2"/>
        <v>3471</v>
      </c>
      <c r="W14" s="57">
        <f t="shared" si="8"/>
        <v>39298</v>
      </c>
      <c r="X14" s="48"/>
      <c r="Y14" s="49"/>
      <c r="Z14" s="50"/>
      <c r="AA14" s="30">
        <f t="shared" si="3"/>
        <v>788</v>
      </c>
      <c r="AB14" s="30">
        <f t="shared" si="10"/>
        <v>78.80000000000001</v>
      </c>
      <c r="AC14" s="30"/>
      <c r="AD14" s="30">
        <f>AD11</f>
        <v>42240</v>
      </c>
      <c r="AE14" s="30" t="e">
        <f>X14-AD14-#REF!</f>
        <v>#REF!</v>
      </c>
      <c r="AF14">
        <f t="shared" si="4"/>
        <v>3274.8333333333335</v>
      </c>
    </row>
    <row r="15" spans="1:32" ht="12.75">
      <c r="A15" s="41">
        <v>10</v>
      </c>
      <c r="B15" s="68" t="s">
        <v>77</v>
      </c>
      <c r="C15" s="41" t="s">
        <v>85</v>
      </c>
      <c r="D15" s="41">
        <v>11</v>
      </c>
      <c r="E15" s="41">
        <v>1</v>
      </c>
      <c r="F15" s="41">
        <v>1</v>
      </c>
      <c r="G15" s="41">
        <v>1600</v>
      </c>
      <c r="H15" s="41">
        <v>1684</v>
      </c>
      <c r="I15" s="41">
        <v>1762</v>
      </c>
      <c r="J15" s="41">
        <v>1.97</v>
      </c>
      <c r="K15" s="47">
        <f t="shared" si="5"/>
        <v>3152</v>
      </c>
      <c r="L15" s="47">
        <f t="shared" si="9"/>
        <v>3152</v>
      </c>
      <c r="M15" s="47">
        <f t="shared" si="0"/>
        <v>3152</v>
      </c>
      <c r="N15" s="47">
        <f t="shared" si="0"/>
        <v>3152</v>
      </c>
      <c r="O15" s="47">
        <f t="shared" si="6"/>
        <v>3317</v>
      </c>
      <c r="P15" s="47">
        <f t="shared" si="7"/>
        <v>3317</v>
      </c>
      <c r="Q15" s="47">
        <f t="shared" si="7"/>
        <v>3317</v>
      </c>
      <c r="R15" s="47">
        <f t="shared" si="7"/>
        <v>3317</v>
      </c>
      <c r="S15" s="47">
        <f t="shared" si="7"/>
        <v>3317</v>
      </c>
      <c r="T15" s="47">
        <f t="shared" si="7"/>
        <v>3317</v>
      </c>
      <c r="U15" s="47">
        <f t="shared" si="7"/>
        <v>3317</v>
      </c>
      <c r="V15" s="44">
        <f t="shared" si="2"/>
        <v>3471</v>
      </c>
      <c r="W15" s="57">
        <f t="shared" si="8"/>
        <v>39298</v>
      </c>
      <c r="X15" s="48"/>
      <c r="Y15" s="49"/>
      <c r="Z15" s="50"/>
      <c r="AA15" s="30">
        <f t="shared" si="3"/>
        <v>788</v>
      </c>
      <c r="AB15" s="30">
        <f t="shared" si="10"/>
        <v>78.80000000000001</v>
      </c>
      <c r="AC15" s="30"/>
      <c r="AD15" s="30">
        <f>AD14</f>
        <v>42240</v>
      </c>
      <c r="AE15" s="30" t="e">
        <f>X15-AD15-#REF!</f>
        <v>#REF!</v>
      </c>
      <c r="AF15">
        <f t="shared" si="4"/>
        <v>3274.8333333333335</v>
      </c>
    </row>
    <row r="16" spans="1:32" ht="12.75">
      <c r="A16" s="41">
        <v>11</v>
      </c>
      <c r="B16" s="69" t="s">
        <v>75</v>
      </c>
      <c r="C16" s="41" t="s">
        <v>116</v>
      </c>
      <c r="D16" s="41" t="s">
        <v>115</v>
      </c>
      <c r="E16" s="41">
        <v>1</v>
      </c>
      <c r="F16" s="41">
        <v>0.95</v>
      </c>
      <c r="G16" s="41">
        <v>1600</v>
      </c>
      <c r="H16" s="41">
        <v>1684</v>
      </c>
      <c r="I16" s="41">
        <v>1762</v>
      </c>
      <c r="J16" s="41">
        <v>2.42</v>
      </c>
      <c r="K16" s="47">
        <f t="shared" si="5"/>
        <v>3678</v>
      </c>
      <c r="L16" s="47">
        <f t="shared" si="9"/>
        <v>3678</v>
      </c>
      <c r="M16" s="47">
        <f t="shared" si="0"/>
        <v>3678</v>
      </c>
      <c r="N16" s="47">
        <f t="shared" si="0"/>
        <v>3678</v>
      </c>
      <c r="O16" s="47">
        <f t="shared" si="6"/>
        <v>3871</v>
      </c>
      <c r="P16" s="47">
        <f t="shared" si="7"/>
        <v>3871</v>
      </c>
      <c r="Q16" s="47">
        <f t="shared" si="7"/>
        <v>3871</v>
      </c>
      <c r="R16" s="47">
        <f t="shared" si="7"/>
        <v>3871</v>
      </c>
      <c r="S16" s="47">
        <f t="shared" si="7"/>
        <v>3871</v>
      </c>
      <c r="T16" s="47">
        <f t="shared" si="7"/>
        <v>3871</v>
      </c>
      <c r="U16" s="47">
        <f t="shared" si="7"/>
        <v>3871</v>
      </c>
      <c r="V16" s="44">
        <f t="shared" si="2"/>
        <v>4051</v>
      </c>
      <c r="W16" s="57">
        <f t="shared" si="8"/>
        <v>45860</v>
      </c>
      <c r="X16" s="48"/>
      <c r="Y16" s="49"/>
      <c r="Z16" s="50"/>
      <c r="AA16" s="30">
        <f t="shared" si="3"/>
        <v>919.5</v>
      </c>
      <c r="AB16" s="30">
        <f>AA16*0.3</f>
        <v>275.84999999999997</v>
      </c>
      <c r="AC16" s="30"/>
      <c r="AD16" s="61">
        <v>57376.8</v>
      </c>
      <c r="AE16" s="30" t="e">
        <f>X16-AD16-#REF!</f>
        <v>#REF!</v>
      </c>
      <c r="AF16">
        <f t="shared" si="4"/>
        <v>3821.6666666666665</v>
      </c>
    </row>
    <row r="17" spans="1:32" ht="12.75">
      <c r="A17" s="41">
        <v>12</v>
      </c>
      <c r="B17" s="69" t="s">
        <v>77</v>
      </c>
      <c r="C17" s="41" t="s">
        <v>117</v>
      </c>
      <c r="D17" s="41">
        <v>11</v>
      </c>
      <c r="E17" s="41">
        <v>1</v>
      </c>
      <c r="F17" s="41">
        <v>1</v>
      </c>
      <c r="G17" s="41">
        <v>1600</v>
      </c>
      <c r="H17" s="41">
        <v>1684</v>
      </c>
      <c r="I17" s="41">
        <v>1762</v>
      </c>
      <c r="J17" s="41">
        <v>1.97</v>
      </c>
      <c r="K17" s="47">
        <f t="shared" si="5"/>
        <v>3152</v>
      </c>
      <c r="L17" s="47">
        <f t="shared" si="9"/>
        <v>3152</v>
      </c>
      <c r="M17" s="47">
        <f t="shared" si="0"/>
        <v>3152</v>
      </c>
      <c r="N17" s="47">
        <f t="shared" si="0"/>
        <v>3152</v>
      </c>
      <c r="O17" s="47">
        <f t="shared" si="6"/>
        <v>3317</v>
      </c>
      <c r="P17" s="47">
        <f t="shared" si="7"/>
        <v>3317</v>
      </c>
      <c r="Q17" s="47">
        <f t="shared" si="7"/>
        <v>3317</v>
      </c>
      <c r="R17" s="47">
        <f t="shared" si="7"/>
        <v>3317</v>
      </c>
      <c r="S17" s="47">
        <f t="shared" si="7"/>
        <v>3317</v>
      </c>
      <c r="T17" s="47">
        <f t="shared" si="7"/>
        <v>3317</v>
      </c>
      <c r="U17" s="47">
        <f t="shared" si="7"/>
        <v>3317</v>
      </c>
      <c r="V17" s="44">
        <f t="shared" si="2"/>
        <v>3471</v>
      </c>
      <c r="W17" s="57">
        <f t="shared" si="8"/>
        <v>39298</v>
      </c>
      <c r="X17" s="48"/>
      <c r="Y17" s="49"/>
      <c r="Z17" s="50"/>
      <c r="AA17" s="30">
        <f t="shared" si="3"/>
        <v>788</v>
      </c>
      <c r="AB17" s="30">
        <f>AA17*0.1</f>
        <v>78.80000000000001</v>
      </c>
      <c r="AC17" s="30"/>
      <c r="AD17" s="30">
        <f>AD15</f>
        <v>42240</v>
      </c>
      <c r="AE17" s="30" t="e">
        <f>X17-AD17-#REF!</f>
        <v>#REF!</v>
      </c>
      <c r="AF17">
        <f t="shared" si="4"/>
        <v>3274.8333333333335</v>
      </c>
    </row>
    <row r="18" spans="1:32" ht="12.75">
      <c r="A18" s="41">
        <v>13</v>
      </c>
      <c r="B18" s="69" t="s">
        <v>77</v>
      </c>
      <c r="C18" s="41" t="s">
        <v>118</v>
      </c>
      <c r="D18" s="41">
        <v>11</v>
      </c>
      <c r="E18" s="41">
        <v>1</v>
      </c>
      <c r="F18" s="41">
        <v>1</v>
      </c>
      <c r="G18" s="41">
        <v>1600</v>
      </c>
      <c r="H18" s="41">
        <v>1684</v>
      </c>
      <c r="I18" s="41">
        <v>1762</v>
      </c>
      <c r="J18" s="41">
        <v>1.97</v>
      </c>
      <c r="K18" s="47">
        <f>ROUND(ROUND(G8*J8,0)*F8,0)*E8</f>
        <v>3678</v>
      </c>
      <c r="L18" s="47">
        <f>ROUND(ROUND(G18*J18,0)*F18,0)*E18</f>
        <v>3152</v>
      </c>
      <c r="M18" s="47">
        <f t="shared" si="0"/>
        <v>3152</v>
      </c>
      <c r="N18" s="47">
        <f t="shared" si="0"/>
        <v>3152</v>
      </c>
      <c r="O18" s="47">
        <f t="shared" si="6"/>
        <v>3317</v>
      </c>
      <c r="P18" s="47">
        <f t="shared" si="7"/>
        <v>3317</v>
      </c>
      <c r="Q18" s="47">
        <f t="shared" si="7"/>
        <v>3317</v>
      </c>
      <c r="R18" s="47">
        <f t="shared" si="7"/>
        <v>3317</v>
      </c>
      <c r="S18" s="47">
        <f t="shared" si="7"/>
        <v>3317</v>
      </c>
      <c r="T18" s="47">
        <f t="shared" si="7"/>
        <v>3317</v>
      </c>
      <c r="U18" s="47">
        <f t="shared" si="7"/>
        <v>3317</v>
      </c>
      <c r="V18" s="44">
        <f t="shared" si="2"/>
        <v>3471</v>
      </c>
      <c r="W18" s="57">
        <f t="shared" si="8"/>
        <v>39824</v>
      </c>
      <c r="X18" s="48"/>
      <c r="Y18" s="49"/>
      <c r="Z18" s="50"/>
      <c r="AA18" s="30">
        <f t="shared" si="3"/>
        <v>919.5</v>
      </c>
      <c r="AB18" s="30">
        <f>AA18*0.1</f>
        <v>91.95</v>
      </c>
      <c r="AC18" s="30"/>
      <c r="AD18" s="30">
        <f>AD17</f>
        <v>42240</v>
      </c>
      <c r="AE18" s="30" t="e">
        <f>X18-AD18-#REF!</f>
        <v>#REF!</v>
      </c>
      <c r="AF18">
        <f t="shared" si="4"/>
        <v>3318.6666666666665</v>
      </c>
    </row>
    <row r="19" spans="1:32" ht="12.75">
      <c r="A19" s="41">
        <v>14</v>
      </c>
      <c r="B19" s="41" t="s">
        <v>77</v>
      </c>
      <c r="C19" s="41" t="s">
        <v>119</v>
      </c>
      <c r="D19" s="41">
        <v>11</v>
      </c>
      <c r="E19" s="41">
        <v>0.5</v>
      </c>
      <c r="F19" s="41">
        <v>1</v>
      </c>
      <c r="G19" s="41">
        <v>1600</v>
      </c>
      <c r="H19" s="41">
        <v>1684</v>
      </c>
      <c r="I19" s="41">
        <v>1762</v>
      </c>
      <c r="J19" s="41">
        <v>1.97</v>
      </c>
      <c r="K19" s="47">
        <f t="shared" si="5"/>
        <v>1576</v>
      </c>
      <c r="L19" s="47">
        <f>K19</f>
        <v>1576</v>
      </c>
      <c r="M19" s="47">
        <f t="shared" si="0"/>
        <v>1576</v>
      </c>
      <c r="N19" s="47">
        <f t="shared" si="0"/>
        <v>1576</v>
      </c>
      <c r="O19" s="47">
        <f t="shared" si="6"/>
        <v>1658.5</v>
      </c>
      <c r="P19" s="47">
        <f t="shared" si="7"/>
        <v>1658.5</v>
      </c>
      <c r="Q19" s="47">
        <f t="shared" si="7"/>
        <v>1658.5</v>
      </c>
      <c r="R19" s="47">
        <f t="shared" si="7"/>
        <v>1658.5</v>
      </c>
      <c r="S19" s="47">
        <f t="shared" si="7"/>
        <v>1658.5</v>
      </c>
      <c r="T19" s="47">
        <f t="shared" si="7"/>
        <v>1658.5</v>
      </c>
      <c r="U19" s="47">
        <f t="shared" si="7"/>
        <v>1658.5</v>
      </c>
      <c r="V19" s="44">
        <f t="shared" si="2"/>
        <v>1735.5</v>
      </c>
      <c r="W19" s="57">
        <f t="shared" si="8"/>
        <v>19649</v>
      </c>
      <c r="X19" s="48"/>
      <c r="Y19" s="49"/>
      <c r="Z19" s="50"/>
      <c r="AA19" s="30">
        <f t="shared" si="3"/>
        <v>394</v>
      </c>
      <c r="AB19" s="30">
        <f>AA19*0.1</f>
        <v>39.400000000000006</v>
      </c>
      <c r="AC19" s="30"/>
      <c r="AD19" s="30">
        <f>AD18</f>
        <v>42240</v>
      </c>
      <c r="AE19" s="30" t="e">
        <f>X19-AD19-#REF!</f>
        <v>#REF!</v>
      </c>
      <c r="AF19">
        <f t="shared" si="4"/>
        <v>1637.4166666666667</v>
      </c>
    </row>
    <row r="20" spans="1:31" ht="12.75">
      <c r="A20" s="41">
        <v>15</v>
      </c>
      <c r="B20" s="41" t="s">
        <v>77</v>
      </c>
      <c r="C20" s="41" t="s">
        <v>136</v>
      </c>
      <c r="D20" s="41">
        <v>11</v>
      </c>
      <c r="E20" s="41">
        <v>0.5</v>
      </c>
      <c r="F20" s="41">
        <v>1</v>
      </c>
      <c r="G20" s="41">
        <v>1600</v>
      </c>
      <c r="H20" s="41">
        <v>1684</v>
      </c>
      <c r="I20" s="41">
        <v>1762</v>
      </c>
      <c r="J20" s="41">
        <v>1.97</v>
      </c>
      <c r="K20" s="47">
        <f>ROUND(ROUND(G20*J20,0)*F20,0)*E20</f>
        <v>1576</v>
      </c>
      <c r="L20" s="47">
        <f>K20</f>
        <v>1576</v>
      </c>
      <c r="M20" s="47">
        <f t="shared" si="0"/>
        <v>1576</v>
      </c>
      <c r="N20" s="47">
        <f t="shared" si="0"/>
        <v>1576</v>
      </c>
      <c r="O20" s="47">
        <f>ROUND(ROUND(H20*J20,0)*F20,0)*E20</f>
        <v>1658.5</v>
      </c>
      <c r="P20" s="47">
        <f aca="true" t="shared" si="11" ref="P20:U20">O20</f>
        <v>1658.5</v>
      </c>
      <c r="Q20" s="47">
        <f t="shared" si="11"/>
        <v>1658.5</v>
      </c>
      <c r="R20" s="47">
        <f t="shared" si="11"/>
        <v>1658.5</v>
      </c>
      <c r="S20" s="47">
        <f t="shared" si="11"/>
        <v>1658.5</v>
      </c>
      <c r="T20" s="47">
        <f t="shared" si="11"/>
        <v>1658.5</v>
      </c>
      <c r="U20" s="47">
        <f t="shared" si="11"/>
        <v>1658.5</v>
      </c>
      <c r="V20" s="44">
        <f>ROUND(ROUND(I20*J20,0)*F20,0)*E20</f>
        <v>1735.5</v>
      </c>
      <c r="W20" s="57">
        <f>SUM(K20:V20)</f>
        <v>19649</v>
      </c>
      <c r="X20" s="48"/>
      <c r="Y20" s="49"/>
      <c r="Z20" s="50"/>
      <c r="AA20" s="30"/>
      <c r="AB20" s="30"/>
      <c r="AC20" s="30"/>
      <c r="AD20" s="30"/>
      <c r="AE20" s="30"/>
    </row>
    <row r="21" spans="1:31" ht="12.75">
      <c r="A21" s="41">
        <v>16</v>
      </c>
      <c r="B21" s="41" t="s">
        <v>77</v>
      </c>
      <c r="C21" s="41" t="s">
        <v>137</v>
      </c>
      <c r="D21" s="41">
        <v>11</v>
      </c>
      <c r="E21" s="41">
        <v>0.5</v>
      </c>
      <c r="F21" s="41">
        <v>1</v>
      </c>
      <c r="G21" s="41">
        <v>1600</v>
      </c>
      <c r="H21" s="41">
        <v>1684</v>
      </c>
      <c r="I21" s="41">
        <v>1762</v>
      </c>
      <c r="J21" s="41">
        <v>1.97</v>
      </c>
      <c r="K21" s="47">
        <f>ROUND(ROUND(G21*J21,0)*F21,0)*E21</f>
        <v>1576</v>
      </c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4"/>
      <c r="W21" s="57">
        <f>SUM(K21:V21)</f>
        <v>1576</v>
      </c>
      <c r="X21" s="48"/>
      <c r="Y21" s="49"/>
      <c r="Z21" s="50"/>
      <c r="AA21" s="30"/>
      <c r="AB21" s="30"/>
      <c r="AC21" s="30"/>
      <c r="AD21" s="30"/>
      <c r="AE21" s="30"/>
    </row>
    <row r="22" spans="1:31" ht="12.75">
      <c r="A22" s="41">
        <v>17</v>
      </c>
      <c r="B22" s="41" t="s">
        <v>77</v>
      </c>
      <c r="C22" s="41" t="s">
        <v>142</v>
      </c>
      <c r="D22" s="41">
        <v>11</v>
      </c>
      <c r="E22" s="41">
        <v>0.5</v>
      </c>
      <c r="F22" s="41">
        <v>1</v>
      </c>
      <c r="G22" s="41">
        <v>1600</v>
      </c>
      <c r="H22" s="41">
        <v>1684</v>
      </c>
      <c r="I22" s="41">
        <v>1762</v>
      </c>
      <c r="J22" s="41">
        <v>1.97</v>
      </c>
      <c r="K22" s="47">
        <f>ROUND(ROUND(G22*J22,0)*F22,0)*E22</f>
        <v>1576</v>
      </c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4"/>
      <c r="W22" s="57">
        <f>SUM(K22:V22)</f>
        <v>1576</v>
      </c>
      <c r="X22" s="48"/>
      <c r="Y22" s="49"/>
      <c r="Z22" s="50"/>
      <c r="AA22" s="30"/>
      <c r="AB22" s="30"/>
      <c r="AC22" s="30"/>
      <c r="AD22" s="30"/>
      <c r="AE22" s="30"/>
    </row>
    <row r="23" spans="1:31" ht="12.75">
      <c r="A23" s="41">
        <v>18</v>
      </c>
      <c r="B23" s="41" t="s">
        <v>120</v>
      </c>
      <c r="C23" s="41" t="s">
        <v>138</v>
      </c>
      <c r="D23" s="41">
        <v>9</v>
      </c>
      <c r="E23" s="41">
        <v>0.5</v>
      </c>
      <c r="F23" s="41">
        <v>1</v>
      </c>
      <c r="G23" s="41">
        <v>1600</v>
      </c>
      <c r="H23" s="41">
        <v>1684</v>
      </c>
      <c r="I23" s="41">
        <v>1762</v>
      </c>
      <c r="J23" s="41">
        <v>1.73</v>
      </c>
      <c r="K23" s="47">
        <f>ROUND(ROUND(G23*J23,0)*F23,0)*E23</f>
        <v>1384</v>
      </c>
      <c r="L23" s="47">
        <f aca="true" t="shared" si="12" ref="L23:N24">K23</f>
        <v>1384</v>
      </c>
      <c r="M23" s="47">
        <f t="shared" si="12"/>
        <v>1384</v>
      </c>
      <c r="N23" s="47">
        <f t="shared" si="12"/>
        <v>1384</v>
      </c>
      <c r="O23" s="47">
        <f>ROUND(ROUND(H23*J23,0)*F23,0)*E23</f>
        <v>1456.5</v>
      </c>
      <c r="P23" s="47">
        <f aca="true" t="shared" si="13" ref="P23:U23">O23</f>
        <v>1456.5</v>
      </c>
      <c r="Q23" s="47">
        <f t="shared" si="13"/>
        <v>1456.5</v>
      </c>
      <c r="R23" s="47">
        <f t="shared" si="13"/>
        <v>1456.5</v>
      </c>
      <c r="S23" s="47">
        <f t="shared" si="13"/>
        <v>1456.5</v>
      </c>
      <c r="T23" s="47">
        <f t="shared" si="13"/>
        <v>1456.5</v>
      </c>
      <c r="U23" s="47">
        <f t="shared" si="13"/>
        <v>1456.5</v>
      </c>
      <c r="V23" s="44">
        <f>ROUND(ROUND(I23*J23,0)*F23,0)*E23</f>
        <v>1524</v>
      </c>
      <c r="W23" s="57">
        <f>SUM(K23:V23)</f>
        <v>17255.5</v>
      </c>
      <c r="X23" s="48"/>
      <c r="Y23" s="49"/>
      <c r="Z23" s="50"/>
      <c r="AA23" s="30"/>
      <c r="AB23" s="30"/>
      <c r="AC23" s="30"/>
      <c r="AD23" s="30"/>
      <c r="AE23" s="30"/>
    </row>
    <row r="24" spans="1:32" ht="12.75">
      <c r="A24" s="41">
        <v>19</v>
      </c>
      <c r="B24" s="41" t="s">
        <v>120</v>
      </c>
      <c r="C24" s="41" t="s">
        <v>121</v>
      </c>
      <c r="D24" s="41">
        <v>9</v>
      </c>
      <c r="E24" s="41">
        <v>0.5</v>
      </c>
      <c r="F24" s="41">
        <v>1</v>
      </c>
      <c r="G24" s="41">
        <v>1600</v>
      </c>
      <c r="H24" s="41">
        <v>1684</v>
      </c>
      <c r="I24" s="41">
        <v>1762</v>
      </c>
      <c r="J24" s="41">
        <v>1.73</v>
      </c>
      <c r="K24" s="47">
        <f t="shared" si="5"/>
        <v>1384</v>
      </c>
      <c r="L24" s="47">
        <f t="shared" si="12"/>
        <v>1384</v>
      </c>
      <c r="M24" s="47">
        <f t="shared" si="12"/>
        <v>1384</v>
      </c>
      <c r="N24" s="47">
        <f t="shared" si="12"/>
        <v>1384</v>
      </c>
      <c r="O24" s="47">
        <f t="shared" si="6"/>
        <v>1456.5</v>
      </c>
      <c r="P24" s="47">
        <f t="shared" si="7"/>
        <v>1456.5</v>
      </c>
      <c r="Q24" s="47">
        <f t="shared" si="7"/>
        <v>1456.5</v>
      </c>
      <c r="R24" s="47">
        <f t="shared" si="7"/>
        <v>1456.5</v>
      </c>
      <c r="S24" s="47">
        <f t="shared" si="7"/>
        <v>1456.5</v>
      </c>
      <c r="T24" s="47">
        <f t="shared" si="7"/>
        <v>1456.5</v>
      </c>
      <c r="U24" s="47">
        <f t="shared" si="7"/>
        <v>1456.5</v>
      </c>
      <c r="V24" s="44">
        <f t="shared" si="2"/>
        <v>1524</v>
      </c>
      <c r="W24" s="57">
        <f>SUM(K24:V24)</f>
        <v>17255.5</v>
      </c>
      <c r="X24" s="48"/>
      <c r="Y24" s="49"/>
      <c r="Z24" s="50"/>
      <c r="AA24" s="30">
        <f t="shared" si="3"/>
        <v>346</v>
      </c>
      <c r="AB24" s="30">
        <f>AA24*0.1</f>
        <v>34.6</v>
      </c>
      <c r="AC24" s="30"/>
      <c r="AD24">
        <v>48000</v>
      </c>
      <c r="AE24" s="30" t="e">
        <f>X24-AD24-#REF!</f>
        <v>#REF!</v>
      </c>
      <c r="AF24">
        <f t="shared" si="4"/>
        <v>1437.9583333333333</v>
      </c>
    </row>
    <row r="25" spans="2:32" s="55" customFormat="1" ht="12.75">
      <c r="B25" s="52" t="s">
        <v>70</v>
      </c>
      <c r="C25" s="52"/>
      <c r="D25" s="52"/>
      <c r="E25" s="52">
        <f>SUM(E6:E24)</f>
        <v>16</v>
      </c>
      <c r="F25" s="53" t="s">
        <v>86</v>
      </c>
      <c r="G25" s="53" t="s">
        <v>86</v>
      </c>
      <c r="H25" s="53" t="s">
        <v>86</v>
      </c>
      <c r="I25" s="53" t="s">
        <v>86</v>
      </c>
      <c r="J25" s="53" t="s">
        <v>86</v>
      </c>
      <c r="K25" s="54">
        <f>ROUND(SUM(K6:K15)/10,0)*10</f>
        <v>24510</v>
      </c>
      <c r="L25" s="54">
        <f>ROUND(SUM(L6:L15)/10,0)*10</f>
        <v>32060</v>
      </c>
      <c r="M25" s="54">
        <f>ROUND(SUM(M6:M15)/10,0)*10</f>
        <v>32060</v>
      </c>
      <c r="N25" s="54">
        <f>ROUND(SUM(N6:N15)/10,0)*10</f>
        <v>32060</v>
      </c>
      <c r="O25" s="54">
        <f>ROUND(SUM(O6:O15)/10,0)*10</f>
        <v>33740</v>
      </c>
      <c r="P25" s="54">
        <f aca="true" t="shared" si="14" ref="P25:U25">ROUND(SUM(P6:P15)/10,0)*10</f>
        <v>33740</v>
      </c>
      <c r="Q25" s="54">
        <f t="shared" si="14"/>
        <v>33740</v>
      </c>
      <c r="R25" s="54">
        <f t="shared" si="14"/>
        <v>33740</v>
      </c>
      <c r="S25" s="54">
        <f t="shared" si="14"/>
        <v>33740</v>
      </c>
      <c r="T25" s="54">
        <f t="shared" si="14"/>
        <v>33740</v>
      </c>
      <c r="U25" s="54">
        <f t="shared" si="14"/>
        <v>33740</v>
      </c>
      <c r="V25" s="54">
        <f>ROUNDDOWN(SUM(V6:V15)/10,0)*10</f>
        <v>35300</v>
      </c>
      <c r="W25" s="54">
        <f aca="true" t="shared" si="15" ref="W25:AB25">SUM(W6:W24)</f>
        <v>594070</v>
      </c>
      <c r="X25" s="54">
        <f t="shared" si="15"/>
        <v>0</v>
      </c>
      <c r="Y25" s="54">
        <f t="shared" si="15"/>
        <v>0</v>
      </c>
      <c r="Z25" s="54">
        <f t="shared" si="15"/>
        <v>0</v>
      </c>
      <c r="AA25" s="30">
        <f t="shared" si="15"/>
        <v>9493.5</v>
      </c>
      <c r="AB25" s="30">
        <f t="shared" si="15"/>
        <v>1307.5</v>
      </c>
      <c r="AC25" s="30"/>
      <c r="AD25" s="59">
        <f>SUM(AD6:AD24)</f>
        <v>709444.8</v>
      </c>
      <c r="AE25" s="59" t="e">
        <f>SUM(AE6:AE24)</f>
        <v>#REF!</v>
      </c>
      <c r="AF25" s="55">
        <v>41520</v>
      </c>
    </row>
    <row r="26" spans="1:22" ht="12.75">
      <c r="A26">
        <v>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5.75">
      <c r="B27" s="62" t="s">
        <v>139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6" s="39" customFormat="1" ht="12" customHeight="1">
      <c r="A28" s="106" t="s">
        <v>62</v>
      </c>
      <c r="B28" s="106" t="s">
        <v>63</v>
      </c>
      <c r="C28" s="110" t="s">
        <v>64</v>
      </c>
      <c r="D28" s="110" t="s">
        <v>65</v>
      </c>
      <c r="E28" s="106" t="s">
        <v>66</v>
      </c>
      <c r="F28" s="112" t="s">
        <v>67</v>
      </c>
      <c r="G28" s="107" t="s">
        <v>111</v>
      </c>
      <c r="H28" s="108"/>
      <c r="I28" s="109"/>
      <c r="J28" s="106" t="s">
        <v>68</v>
      </c>
      <c r="K28" s="102" t="s">
        <v>124</v>
      </c>
      <c r="L28" s="102" t="s">
        <v>125</v>
      </c>
      <c r="M28" s="102" t="s">
        <v>126</v>
      </c>
      <c r="N28" s="102" t="s">
        <v>127</v>
      </c>
      <c r="O28" s="102" t="s">
        <v>128</v>
      </c>
      <c r="P28" s="102" t="s">
        <v>129</v>
      </c>
      <c r="Q28" s="102" t="s">
        <v>130</v>
      </c>
      <c r="R28" s="102" t="s">
        <v>131</v>
      </c>
      <c r="S28" s="102" t="s">
        <v>132</v>
      </c>
      <c r="T28" s="102" t="s">
        <v>133</v>
      </c>
      <c r="U28" s="102" t="s">
        <v>134</v>
      </c>
      <c r="V28" s="102" t="s">
        <v>69</v>
      </c>
      <c r="W28" s="104" t="s">
        <v>70</v>
      </c>
      <c r="X28" s="105">
        <v>1110</v>
      </c>
      <c r="Y28" s="105">
        <v>1120</v>
      </c>
      <c r="Z28" s="101" t="s">
        <v>71</v>
      </c>
    </row>
    <row r="29" spans="1:26" s="39" customFormat="1" ht="29.25" customHeight="1">
      <c r="A29" s="106"/>
      <c r="B29" s="106"/>
      <c r="C29" s="111"/>
      <c r="D29" s="111"/>
      <c r="E29" s="106"/>
      <c r="F29" s="113"/>
      <c r="G29" s="40" t="s">
        <v>112</v>
      </c>
      <c r="H29" s="40" t="s">
        <v>113</v>
      </c>
      <c r="I29" s="40" t="s">
        <v>114</v>
      </c>
      <c r="J29" s="106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X29" s="105"/>
      <c r="Y29" s="105"/>
      <c r="Z29" s="101"/>
    </row>
    <row r="30" spans="1:26" ht="12.75">
      <c r="A30" s="41"/>
      <c r="B30" s="42">
        <v>120300</v>
      </c>
      <c r="C30" s="42"/>
      <c r="D30" s="41"/>
      <c r="E30" s="41"/>
      <c r="F30" s="41"/>
      <c r="G30" s="41"/>
      <c r="H30" s="41"/>
      <c r="I30" s="41"/>
      <c r="J30" s="41"/>
      <c r="K30" s="41">
        <f>ROUND(ROUND(G30*J30,0)*F30,0)*2</f>
        <v>0</v>
      </c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/>
      <c r="X30" s="45"/>
      <c r="Y30" s="45"/>
      <c r="Z30" s="46"/>
    </row>
    <row r="31" spans="1:32" ht="12.75">
      <c r="A31" s="41">
        <v>1</v>
      </c>
      <c r="B31" s="41" t="s">
        <v>37</v>
      </c>
      <c r="C31" s="41"/>
      <c r="D31" s="41"/>
      <c r="E31" s="41"/>
      <c r="F31" s="41"/>
      <c r="G31" s="41"/>
      <c r="H31" s="41"/>
      <c r="I31" s="41"/>
      <c r="J31" s="41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4"/>
      <c r="W31" s="57">
        <f>SUM(K31:V31)</f>
        <v>0</v>
      </c>
      <c r="X31" s="48"/>
      <c r="Y31" s="49"/>
      <c r="Z31" s="50"/>
      <c r="AA31" s="30">
        <f aca="true" t="shared" si="16" ref="AA31:AA44">K31/4</f>
        <v>0</v>
      </c>
      <c r="AB31" s="30">
        <f>AA31*0.3</f>
        <v>0</v>
      </c>
      <c r="AC31" s="30"/>
      <c r="AD31" s="60">
        <f>'[2]01.01.17(з мінім)'!$M$26</f>
        <v>60403.200000000004</v>
      </c>
      <c r="AE31" s="30" t="e">
        <f>X31-AD31-#REF!</f>
        <v>#REF!</v>
      </c>
      <c r="AF31">
        <f aca="true" t="shared" si="17" ref="AF31:AF44">W31/12</f>
        <v>0</v>
      </c>
    </row>
    <row r="32" spans="1:32" ht="12.75">
      <c r="A32" s="41">
        <f aca="true" t="shared" si="18" ref="A32:A49">A31+1</f>
        <v>2</v>
      </c>
      <c r="B32" s="51" t="s">
        <v>72</v>
      </c>
      <c r="C32" s="51" t="s">
        <v>73</v>
      </c>
      <c r="D32" s="41"/>
      <c r="E32" s="41"/>
      <c r="F32" s="41"/>
      <c r="G32" s="41"/>
      <c r="H32" s="41"/>
      <c r="I32" s="41"/>
      <c r="J32" s="41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4"/>
      <c r="W32" s="57">
        <f aca="true" t="shared" si="19" ref="W32:W49">SUM(K32:V32)</f>
        <v>0</v>
      </c>
      <c r="X32" s="48"/>
      <c r="Y32" s="49"/>
      <c r="Z32" s="50"/>
      <c r="AA32" s="30">
        <f t="shared" si="16"/>
        <v>0</v>
      </c>
      <c r="AB32" s="30">
        <f>AA32*0.3</f>
        <v>0</v>
      </c>
      <c r="AC32" s="30"/>
      <c r="AD32" s="60">
        <f>'[2]01.01.17(з мінім)'!$M$27</f>
        <v>54366</v>
      </c>
      <c r="AE32" s="30" t="e">
        <f>X32-AD32-#REF!</f>
        <v>#REF!</v>
      </c>
      <c r="AF32">
        <f t="shared" si="17"/>
        <v>0</v>
      </c>
    </row>
    <row r="33" spans="1:32" ht="12.75">
      <c r="A33" s="41">
        <f t="shared" si="18"/>
        <v>3</v>
      </c>
      <c r="B33" s="41" t="s">
        <v>75</v>
      </c>
      <c r="C33" s="41" t="s">
        <v>76</v>
      </c>
      <c r="D33" s="41"/>
      <c r="E33" s="41"/>
      <c r="F33" s="41"/>
      <c r="G33" s="41"/>
      <c r="H33" s="41"/>
      <c r="I33" s="41"/>
      <c r="J33" s="41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4"/>
      <c r="W33" s="57">
        <f t="shared" si="19"/>
        <v>0</v>
      </c>
      <c r="X33" s="48"/>
      <c r="Y33" s="49"/>
      <c r="Z33" s="50"/>
      <c r="AA33" s="30">
        <f t="shared" si="16"/>
        <v>0</v>
      </c>
      <c r="AB33" s="30">
        <f>AA33*0.3</f>
        <v>0</v>
      </c>
      <c r="AC33" s="30"/>
      <c r="AD33" s="61">
        <v>57376.8</v>
      </c>
      <c r="AE33" s="30" t="e">
        <f>X33-AD33-#REF!</f>
        <v>#REF!</v>
      </c>
      <c r="AF33">
        <f t="shared" si="17"/>
        <v>0</v>
      </c>
    </row>
    <row r="34" spans="1:32" ht="12.75">
      <c r="A34" s="41">
        <f t="shared" si="18"/>
        <v>4</v>
      </c>
      <c r="B34" s="41" t="s">
        <v>77</v>
      </c>
      <c r="C34" s="41" t="s">
        <v>78</v>
      </c>
      <c r="D34" s="41"/>
      <c r="E34" s="41"/>
      <c r="F34" s="41"/>
      <c r="G34" s="41"/>
      <c r="H34" s="41"/>
      <c r="I34" s="41"/>
      <c r="J34" s="41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4"/>
      <c r="W34" s="57">
        <f t="shared" si="19"/>
        <v>0</v>
      </c>
      <c r="X34" s="48"/>
      <c r="Y34" s="49"/>
      <c r="Z34" s="50"/>
      <c r="AA34" s="30">
        <f t="shared" si="16"/>
        <v>0</v>
      </c>
      <c r="AB34" s="30">
        <f aca="true" t="shared" si="20" ref="AB34:AB40">AA34*0.1</f>
        <v>0</v>
      </c>
      <c r="AC34" s="30"/>
      <c r="AD34" s="30">
        <f>'[2]01.01.17(з мінім)'!$M$30</f>
        <v>42240</v>
      </c>
      <c r="AE34" s="30" t="e">
        <f>X34-AD34-#REF!</f>
        <v>#REF!</v>
      </c>
      <c r="AF34">
        <f t="shared" si="17"/>
        <v>0</v>
      </c>
    </row>
    <row r="35" spans="1:32" ht="12.75">
      <c r="A35" s="41">
        <f t="shared" si="18"/>
        <v>5</v>
      </c>
      <c r="B35" s="41" t="s">
        <v>77</v>
      </c>
      <c r="C35" s="41" t="s">
        <v>79</v>
      </c>
      <c r="D35" s="41"/>
      <c r="E35" s="41"/>
      <c r="F35" s="41"/>
      <c r="G35" s="41"/>
      <c r="H35" s="41"/>
      <c r="I35" s="41"/>
      <c r="J35" s="41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4"/>
      <c r="W35" s="57">
        <f t="shared" si="19"/>
        <v>0</v>
      </c>
      <c r="X35" s="48"/>
      <c r="Y35" s="49"/>
      <c r="Z35" s="50"/>
      <c r="AA35" s="30">
        <f t="shared" si="16"/>
        <v>0</v>
      </c>
      <c r="AB35" s="30">
        <f t="shared" si="20"/>
        <v>0</v>
      </c>
      <c r="AC35" s="30"/>
      <c r="AD35" s="30">
        <f>AD34</f>
        <v>42240</v>
      </c>
      <c r="AE35" s="30" t="e">
        <f>X35-AD35-#REF!</f>
        <v>#REF!</v>
      </c>
      <c r="AF35">
        <f t="shared" si="17"/>
        <v>0</v>
      </c>
    </row>
    <row r="36" spans="1:32" ht="12.75">
      <c r="A36" s="41">
        <f t="shared" si="18"/>
        <v>6</v>
      </c>
      <c r="B36" s="41" t="s">
        <v>80</v>
      </c>
      <c r="C36" s="41" t="s">
        <v>81</v>
      </c>
      <c r="D36" s="41"/>
      <c r="E36" s="41"/>
      <c r="F36" s="41"/>
      <c r="G36" s="41"/>
      <c r="H36" s="41"/>
      <c r="I36" s="41"/>
      <c r="J36" s="4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4"/>
      <c r="W36" s="57">
        <f t="shared" si="19"/>
        <v>0</v>
      </c>
      <c r="X36" s="48"/>
      <c r="Y36" s="49"/>
      <c r="Z36" s="50"/>
      <c r="AA36" s="30">
        <f t="shared" si="16"/>
        <v>0</v>
      </c>
      <c r="AB36" s="30">
        <f t="shared" si="20"/>
        <v>0</v>
      </c>
      <c r="AC36" s="30"/>
      <c r="AD36" s="30">
        <f>AD35</f>
        <v>42240</v>
      </c>
      <c r="AE36" s="30" t="e">
        <f>X36-AD36-#REF!</f>
        <v>#REF!</v>
      </c>
      <c r="AF36">
        <f t="shared" si="17"/>
        <v>0</v>
      </c>
    </row>
    <row r="37" spans="1:32" ht="12.75">
      <c r="A37" s="41">
        <f t="shared" si="18"/>
        <v>7</v>
      </c>
      <c r="B37" s="41" t="s">
        <v>80</v>
      </c>
      <c r="C37" s="41" t="s">
        <v>82</v>
      </c>
      <c r="D37" s="41"/>
      <c r="E37" s="41"/>
      <c r="F37" s="41"/>
      <c r="G37" s="41"/>
      <c r="H37" s="41"/>
      <c r="I37" s="41"/>
      <c r="J37" s="41"/>
      <c r="K37" s="47">
        <f>ROUNDUP(K12*0.15,0)</f>
        <v>370</v>
      </c>
      <c r="L37" s="47">
        <f aca="true" t="shared" si="21" ref="L37:V37">ROUNDUP(L12*0.15,0)</f>
        <v>370</v>
      </c>
      <c r="M37" s="47">
        <f t="shared" si="21"/>
        <v>370</v>
      </c>
      <c r="N37" s="47">
        <f t="shared" si="21"/>
        <v>370</v>
      </c>
      <c r="O37" s="47">
        <f t="shared" si="21"/>
        <v>389</v>
      </c>
      <c r="P37" s="47">
        <f t="shared" si="21"/>
        <v>389</v>
      </c>
      <c r="Q37" s="47">
        <f t="shared" si="21"/>
        <v>389</v>
      </c>
      <c r="R37" s="47">
        <f t="shared" si="21"/>
        <v>389</v>
      </c>
      <c r="S37" s="47">
        <f t="shared" si="21"/>
        <v>389</v>
      </c>
      <c r="T37" s="47">
        <f t="shared" si="21"/>
        <v>389</v>
      </c>
      <c r="U37" s="47">
        <f t="shared" si="21"/>
        <v>389</v>
      </c>
      <c r="V37" s="47">
        <f t="shared" si="21"/>
        <v>407</v>
      </c>
      <c r="W37" s="57">
        <f t="shared" si="19"/>
        <v>4610</v>
      </c>
      <c r="X37" s="48"/>
      <c r="Y37" s="49"/>
      <c r="Z37" s="50"/>
      <c r="AA37" s="30">
        <f t="shared" si="16"/>
        <v>92.5</v>
      </c>
      <c r="AB37" s="30">
        <f t="shared" si="20"/>
        <v>9.25</v>
      </c>
      <c r="AC37" s="30"/>
      <c r="AD37">
        <v>48000</v>
      </c>
      <c r="AE37" s="30" t="e">
        <f>X37-AD37-#REF!</f>
        <v>#REF!</v>
      </c>
      <c r="AF37">
        <f t="shared" si="17"/>
        <v>384.1666666666667</v>
      </c>
    </row>
    <row r="38" spans="1:32" ht="12.75">
      <c r="A38" s="41">
        <f t="shared" si="18"/>
        <v>8</v>
      </c>
      <c r="B38" s="41" t="s">
        <v>83</v>
      </c>
      <c r="C38" s="41" t="s">
        <v>143</v>
      </c>
      <c r="D38" s="41"/>
      <c r="E38" s="41"/>
      <c r="F38" s="41"/>
      <c r="G38" s="41"/>
      <c r="H38" s="41"/>
      <c r="I38" s="41"/>
      <c r="J38" s="41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4"/>
      <c r="W38" s="57">
        <f t="shared" si="19"/>
        <v>0</v>
      </c>
      <c r="X38" s="48"/>
      <c r="Y38" s="49"/>
      <c r="Z38" s="50"/>
      <c r="AA38" s="30">
        <f t="shared" si="16"/>
        <v>0</v>
      </c>
      <c r="AB38" s="30">
        <f t="shared" si="20"/>
        <v>0</v>
      </c>
      <c r="AC38" s="30"/>
      <c r="AD38">
        <v>46002</v>
      </c>
      <c r="AE38" s="30" t="e">
        <f>X38-AD38-#REF!</f>
        <v>#REF!</v>
      </c>
      <c r="AF38">
        <f t="shared" si="17"/>
        <v>0</v>
      </c>
    </row>
    <row r="39" spans="1:32" ht="12.75">
      <c r="A39" s="41">
        <f t="shared" si="18"/>
        <v>9</v>
      </c>
      <c r="B39" s="41" t="s">
        <v>77</v>
      </c>
      <c r="C39" s="41" t="s">
        <v>84</v>
      </c>
      <c r="D39" s="41"/>
      <c r="E39" s="41"/>
      <c r="F39" s="41"/>
      <c r="G39" s="41"/>
      <c r="H39" s="41"/>
      <c r="I39" s="41"/>
      <c r="J39" s="41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4"/>
      <c r="W39" s="57">
        <f t="shared" si="19"/>
        <v>0</v>
      </c>
      <c r="X39" s="48"/>
      <c r="Y39" s="49"/>
      <c r="Z39" s="50"/>
      <c r="AA39" s="30">
        <f t="shared" si="16"/>
        <v>0</v>
      </c>
      <c r="AB39" s="30">
        <f t="shared" si="20"/>
        <v>0</v>
      </c>
      <c r="AC39" s="30"/>
      <c r="AD39" s="30">
        <f>AD36</f>
        <v>42240</v>
      </c>
      <c r="AE39" s="30" t="e">
        <f>X39-AD39-#REF!</f>
        <v>#REF!</v>
      </c>
      <c r="AF39">
        <f t="shared" si="17"/>
        <v>0</v>
      </c>
    </row>
    <row r="40" spans="1:32" ht="12.75">
      <c r="A40" s="41">
        <f t="shared" si="18"/>
        <v>10</v>
      </c>
      <c r="B40" s="41" t="s">
        <v>77</v>
      </c>
      <c r="C40" s="41" t="s">
        <v>85</v>
      </c>
      <c r="D40" s="41"/>
      <c r="E40" s="41"/>
      <c r="F40" s="41"/>
      <c r="G40" s="41"/>
      <c r="H40" s="41"/>
      <c r="I40" s="41"/>
      <c r="J40" s="41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4"/>
      <c r="W40" s="57">
        <f t="shared" si="19"/>
        <v>0</v>
      </c>
      <c r="X40" s="48"/>
      <c r="Y40" s="49"/>
      <c r="Z40" s="50"/>
      <c r="AA40" s="30">
        <f t="shared" si="16"/>
        <v>0</v>
      </c>
      <c r="AB40" s="30">
        <f t="shared" si="20"/>
        <v>0</v>
      </c>
      <c r="AC40" s="30"/>
      <c r="AD40" s="30">
        <f>AD39</f>
        <v>42240</v>
      </c>
      <c r="AE40" s="30" t="e">
        <f>X40-AD40-#REF!</f>
        <v>#REF!</v>
      </c>
      <c r="AF40">
        <f t="shared" si="17"/>
        <v>0</v>
      </c>
    </row>
    <row r="41" spans="1:32" ht="12.75">
      <c r="A41" s="41">
        <f t="shared" si="18"/>
        <v>11</v>
      </c>
      <c r="B41" s="41" t="s">
        <v>75</v>
      </c>
      <c r="C41" s="41" t="s">
        <v>116</v>
      </c>
      <c r="D41" s="41"/>
      <c r="E41" s="41"/>
      <c r="F41" s="41"/>
      <c r="G41" s="41"/>
      <c r="H41" s="41"/>
      <c r="I41" s="41"/>
      <c r="J41" s="41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4"/>
      <c r="W41" s="57">
        <f t="shared" si="19"/>
        <v>0</v>
      </c>
      <c r="X41" s="48"/>
      <c r="Y41" s="49"/>
      <c r="Z41" s="50"/>
      <c r="AA41" s="30">
        <f t="shared" si="16"/>
        <v>0</v>
      </c>
      <c r="AB41" s="30">
        <f>AA41*0.3</f>
        <v>0</v>
      </c>
      <c r="AC41" s="30"/>
      <c r="AD41" s="61">
        <v>57376.8</v>
      </c>
      <c r="AE41" s="30" t="e">
        <f>X41-AD41-#REF!</f>
        <v>#REF!</v>
      </c>
      <c r="AF41">
        <f t="shared" si="17"/>
        <v>0</v>
      </c>
    </row>
    <row r="42" spans="1:32" ht="12.75">
      <c r="A42" s="41">
        <f t="shared" si="18"/>
        <v>12</v>
      </c>
      <c r="B42" s="41" t="s">
        <v>77</v>
      </c>
      <c r="C42" s="41" t="s">
        <v>117</v>
      </c>
      <c r="D42" s="41"/>
      <c r="E42" s="41"/>
      <c r="F42" s="41"/>
      <c r="G42" s="41"/>
      <c r="H42" s="41"/>
      <c r="I42" s="41"/>
      <c r="J42" s="41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4"/>
      <c r="W42" s="57">
        <f t="shared" si="19"/>
        <v>0</v>
      </c>
      <c r="X42" s="48"/>
      <c r="Y42" s="49"/>
      <c r="Z42" s="50"/>
      <c r="AA42" s="30">
        <f t="shared" si="16"/>
        <v>0</v>
      </c>
      <c r="AB42" s="30">
        <f>AA42*0.1</f>
        <v>0</v>
      </c>
      <c r="AC42" s="30"/>
      <c r="AD42" s="30">
        <f>AD40</f>
        <v>42240</v>
      </c>
      <c r="AE42" s="30" t="e">
        <f>X42-AD42-#REF!</f>
        <v>#REF!</v>
      </c>
      <c r="AF42">
        <f t="shared" si="17"/>
        <v>0</v>
      </c>
    </row>
    <row r="43" spans="1:32" ht="12.75">
      <c r="A43" s="41">
        <f t="shared" si="18"/>
        <v>13</v>
      </c>
      <c r="B43" s="41" t="s">
        <v>77</v>
      </c>
      <c r="C43" s="41" t="s">
        <v>118</v>
      </c>
      <c r="D43" s="41"/>
      <c r="E43" s="41"/>
      <c r="F43" s="41"/>
      <c r="G43" s="41"/>
      <c r="H43" s="41"/>
      <c r="I43" s="41"/>
      <c r="J43" s="41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4"/>
      <c r="W43" s="57">
        <f t="shared" si="19"/>
        <v>0</v>
      </c>
      <c r="X43" s="48"/>
      <c r="Y43" s="49"/>
      <c r="Z43" s="50"/>
      <c r="AA43" s="30">
        <f t="shared" si="16"/>
        <v>0</v>
      </c>
      <c r="AB43" s="30">
        <f>AA43*0.1</f>
        <v>0</v>
      </c>
      <c r="AC43" s="30"/>
      <c r="AD43" s="30">
        <f>AD42</f>
        <v>42240</v>
      </c>
      <c r="AE43" s="30" t="e">
        <f>X43-AD43-#REF!</f>
        <v>#REF!</v>
      </c>
      <c r="AF43">
        <f t="shared" si="17"/>
        <v>0</v>
      </c>
    </row>
    <row r="44" spans="1:32" ht="12.75">
      <c r="A44" s="41">
        <f t="shared" si="18"/>
        <v>14</v>
      </c>
      <c r="B44" s="41" t="s">
        <v>77</v>
      </c>
      <c r="C44" s="41" t="s">
        <v>119</v>
      </c>
      <c r="D44" s="41"/>
      <c r="E44" s="41"/>
      <c r="F44" s="41"/>
      <c r="G44" s="41"/>
      <c r="H44" s="41"/>
      <c r="I44" s="41"/>
      <c r="J44" s="41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4"/>
      <c r="W44" s="57">
        <f t="shared" si="19"/>
        <v>0</v>
      </c>
      <c r="X44" s="48"/>
      <c r="Y44" s="49"/>
      <c r="Z44" s="50"/>
      <c r="AA44" s="30">
        <f t="shared" si="16"/>
        <v>0</v>
      </c>
      <c r="AB44" s="30">
        <f>AA44*0.1</f>
        <v>0</v>
      </c>
      <c r="AC44" s="30"/>
      <c r="AD44" s="30">
        <f>AD43</f>
        <v>42240</v>
      </c>
      <c r="AE44" s="30" t="e">
        <f>X44-AD44-#REF!</f>
        <v>#REF!</v>
      </c>
      <c r="AF44">
        <f t="shared" si="17"/>
        <v>0</v>
      </c>
    </row>
    <row r="45" spans="1:31" ht="12.75">
      <c r="A45" s="41">
        <f t="shared" si="18"/>
        <v>15</v>
      </c>
      <c r="B45" s="41" t="s">
        <v>77</v>
      </c>
      <c r="C45" s="41" t="s">
        <v>136</v>
      </c>
      <c r="D45" s="41"/>
      <c r="E45" s="41"/>
      <c r="F45" s="41"/>
      <c r="G45" s="41"/>
      <c r="H45" s="41"/>
      <c r="I45" s="41"/>
      <c r="J45" s="41"/>
      <c r="K45" s="47">
        <f>ROUNDUP(K20*0.15,0)</f>
        <v>237</v>
      </c>
      <c r="L45" s="47">
        <f aca="true" t="shared" si="22" ref="L45:V45">ROUNDUP(L20*0.15,0)</f>
        <v>237</v>
      </c>
      <c r="M45" s="47">
        <f t="shared" si="22"/>
        <v>237</v>
      </c>
      <c r="N45" s="47">
        <f t="shared" si="22"/>
        <v>237</v>
      </c>
      <c r="O45" s="47">
        <f t="shared" si="22"/>
        <v>249</v>
      </c>
      <c r="P45" s="47">
        <f t="shared" si="22"/>
        <v>249</v>
      </c>
      <c r="Q45" s="47">
        <f t="shared" si="22"/>
        <v>249</v>
      </c>
      <c r="R45" s="47">
        <f t="shared" si="22"/>
        <v>249</v>
      </c>
      <c r="S45" s="47">
        <f t="shared" si="22"/>
        <v>249</v>
      </c>
      <c r="T45" s="47">
        <f t="shared" si="22"/>
        <v>249</v>
      </c>
      <c r="U45" s="47">
        <f t="shared" si="22"/>
        <v>249</v>
      </c>
      <c r="V45" s="47">
        <f t="shared" si="22"/>
        <v>261</v>
      </c>
      <c r="W45" s="57">
        <f t="shared" si="19"/>
        <v>2952</v>
      </c>
      <c r="X45" s="48"/>
      <c r="Y45" s="49"/>
      <c r="Z45" s="50"/>
      <c r="AA45" s="30"/>
      <c r="AB45" s="30"/>
      <c r="AC45" s="30"/>
      <c r="AD45" s="30"/>
      <c r="AE45" s="30"/>
    </row>
    <row r="46" spans="1:31" ht="12.75">
      <c r="A46" s="41">
        <f t="shared" si="18"/>
        <v>16</v>
      </c>
      <c r="B46" s="41" t="s">
        <v>77</v>
      </c>
      <c r="C46" s="41" t="s">
        <v>137</v>
      </c>
      <c r="D46" s="41"/>
      <c r="E46" s="41"/>
      <c r="F46" s="41"/>
      <c r="G46" s="41"/>
      <c r="H46" s="41"/>
      <c r="I46" s="41"/>
      <c r="J46" s="41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57">
        <f t="shared" si="19"/>
        <v>0</v>
      </c>
      <c r="X46" s="48"/>
      <c r="Y46" s="49"/>
      <c r="Z46" s="50"/>
      <c r="AA46" s="30"/>
      <c r="AB46" s="30"/>
      <c r="AC46" s="30"/>
      <c r="AD46" s="30"/>
      <c r="AE46" s="30"/>
    </row>
    <row r="47" spans="1:31" ht="12.75">
      <c r="A47" s="41">
        <v>17</v>
      </c>
      <c r="B47" s="41" t="s">
        <v>77</v>
      </c>
      <c r="C47" s="41" t="s">
        <v>142</v>
      </c>
      <c r="D47" s="41"/>
      <c r="E47" s="41"/>
      <c r="F47" s="41"/>
      <c r="G47" s="41"/>
      <c r="H47" s="41"/>
      <c r="I47" s="41"/>
      <c r="J47" s="41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4"/>
      <c r="W47" s="57">
        <f t="shared" si="19"/>
        <v>0</v>
      </c>
      <c r="X47" s="48"/>
      <c r="Y47" s="49"/>
      <c r="Z47" s="50"/>
      <c r="AA47" s="30"/>
      <c r="AB47" s="30"/>
      <c r="AC47" s="30"/>
      <c r="AD47" s="30"/>
      <c r="AE47" s="30"/>
    </row>
    <row r="48" spans="1:31" ht="12.75">
      <c r="A48" s="41">
        <f>A46+1</f>
        <v>17</v>
      </c>
      <c r="B48" s="41" t="s">
        <v>120</v>
      </c>
      <c r="C48" s="41" t="s">
        <v>138</v>
      </c>
      <c r="D48" s="41"/>
      <c r="E48" s="41"/>
      <c r="F48" s="41"/>
      <c r="G48" s="41"/>
      <c r="H48" s="41"/>
      <c r="I48" s="41"/>
      <c r="J48" s="41"/>
      <c r="K48" s="47">
        <f>ROUNDUP(K23*0.15,0)</f>
        <v>208</v>
      </c>
      <c r="L48" s="47">
        <f aca="true" t="shared" si="23" ref="L48:V48">ROUNDUP(L23*0.15,0)</f>
        <v>208</v>
      </c>
      <c r="M48" s="47">
        <f t="shared" si="23"/>
        <v>208</v>
      </c>
      <c r="N48" s="47">
        <f t="shared" si="23"/>
        <v>208</v>
      </c>
      <c r="O48" s="47">
        <f t="shared" si="23"/>
        <v>219</v>
      </c>
      <c r="P48" s="47">
        <f t="shared" si="23"/>
        <v>219</v>
      </c>
      <c r="Q48" s="47">
        <f t="shared" si="23"/>
        <v>219</v>
      </c>
      <c r="R48" s="47">
        <f t="shared" si="23"/>
        <v>219</v>
      </c>
      <c r="S48" s="47">
        <f t="shared" si="23"/>
        <v>219</v>
      </c>
      <c r="T48" s="47">
        <f t="shared" si="23"/>
        <v>219</v>
      </c>
      <c r="U48" s="47">
        <f t="shared" si="23"/>
        <v>219</v>
      </c>
      <c r="V48" s="47">
        <f t="shared" si="23"/>
        <v>229</v>
      </c>
      <c r="W48" s="57">
        <f t="shared" si="19"/>
        <v>2594</v>
      </c>
      <c r="X48" s="48"/>
      <c r="Y48" s="49"/>
      <c r="Z48" s="50"/>
      <c r="AA48" s="30"/>
      <c r="AB48" s="30"/>
      <c r="AC48" s="30"/>
      <c r="AD48" s="30"/>
      <c r="AE48" s="30"/>
    </row>
    <row r="49" spans="1:32" ht="12.75">
      <c r="A49" s="41">
        <f t="shared" si="18"/>
        <v>18</v>
      </c>
      <c r="B49" s="41" t="s">
        <v>120</v>
      </c>
      <c r="C49" s="41" t="s">
        <v>121</v>
      </c>
      <c r="D49" s="41"/>
      <c r="E49" s="41"/>
      <c r="F49" s="41"/>
      <c r="G49" s="41"/>
      <c r="H49" s="41"/>
      <c r="I49" s="41"/>
      <c r="J49" s="41"/>
      <c r="K49" s="47">
        <f>ROUNDUP(K24*0.15,0)</f>
        <v>208</v>
      </c>
      <c r="L49" s="47">
        <f aca="true" t="shared" si="24" ref="L49:V49">ROUNDUP(L24*0.15,0)</f>
        <v>208</v>
      </c>
      <c r="M49" s="47">
        <f t="shared" si="24"/>
        <v>208</v>
      </c>
      <c r="N49" s="47">
        <f t="shared" si="24"/>
        <v>208</v>
      </c>
      <c r="O49" s="47">
        <f t="shared" si="24"/>
        <v>219</v>
      </c>
      <c r="P49" s="47">
        <f t="shared" si="24"/>
        <v>219</v>
      </c>
      <c r="Q49" s="47">
        <f t="shared" si="24"/>
        <v>219</v>
      </c>
      <c r="R49" s="47">
        <f t="shared" si="24"/>
        <v>219</v>
      </c>
      <c r="S49" s="47">
        <f t="shared" si="24"/>
        <v>219</v>
      </c>
      <c r="T49" s="47">
        <f t="shared" si="24"/>
        <v>219</v>
      </c>
      <c r="U49" s="47">
        <f t="shared" si="24"/>
        <v>219</v>
      </c>
      <c r="V49" s="47">
        <f t="shared" si="24"/>
        <v>229</v>
      </c>
      <c r="W49" s="57">
        <f t="shared" si="19"/>
        <v>2594</v>
      </c>
      <c r="X49" s="48"/>
      <c r="Y49" s="49"/>
      <c r="Z49" s="50"/>
      <c r="AA49" s="30">
        <f>K49/4</f>
        <v>52</v>
      </c>
      <c r="AB49" s="30">
        <f>AA49*0.1</f>
        <v>5.2</v>
      </c>
      <c r="AC49" s="30"/>
      <c r="AD49">
        <v>48000</v>
      </c>
      <c r="AE49" s="30" t="e">
        <f>X49-AD49-#REF!</f>
        <v>#REF!</v>
      </c>
      <c r="AF49">
        <f>W49/12</f>
        <v>216.16666666666666</v>
      </c>
    </row>
    <row r="50" spans="2:32" s="55" customFormat="1" ht="12.75">
      <c r="B50" s="52" t="s">
        <v>70</v>
      </c>
      <c r="C50" s="52"/>
      <c r="D50" s="52"/>
      <c r="E50" s="52"/>
      <c r="F50" s="53"/>
      <c r="G50" s="53"/>
      <c r="H50" s="53"/>
      <c r="I50" s="53"/>
      <c r="J50" s="53"/>
      <c r="K50" s="54">
        <f>ROUND(SUM(K31:K40)/10,0)*10</f>
        <v>370</v>
      </c>
      <c r="L50" s="54">
        <f>ROUND(SUM(L31:L40)/10,0)*10</f>
        <v>370</v>
      </c>
      <c r="M50" s="54">
        <f>ROUND(SUM(M31:M40)/10,0)*10</f>
        <v>370</v>
      </c>
      <c r="N50" s="54">
        <f>ROUND(SUM(N31:N40)/10,0)*10</f>
        <v>370</v>
      </c>
      <c r="O50" s="54">
        <f>ROUND(SUM(O31:O40)/10,0)*10</f>
        <v>390</v>
      </c>
      <c r="P50" s="54">
        <f aca="true" t="shared" si="25" ref="P50:U50">ROUND(SUM(P31:P40)/10,0)*10</f>
        <v>390</v>
      </c>
      <c r="Q50" s="54">
        <f t="shared" si="25"/>
        <v>390</v>
      </c>
      <c r="R50" s="54">
        <f t="shared" si="25"/>
        <v>390</v>
      </c>
      <c r="S50" s="54">
        <f t="shared" si="25"/>
        <v>390</v>
      </c>
      <c r="T50" s="54">
        <f t="shared" si="25"/>
        <v>390</v>
      </c>
      <c r="U50" s="54">
        <f t="shared" si="25"/>
        <v>390</v>
      </c>
      <c r="V50" s="54">
        <f>ROUNDDOWN(SUM(V31:V40)/10,0)*10</f>
        <v>400</v>
      </c>
      <c r="W50" s="54">
        <f aca="true" t="shared" si="26" ref="W50:AB50">SUM(W31:W49)</f>
        <v>12750</v>
      </c>
      <c r="X50" s="54">
        <f t="shared" si="26"/>
        <v>0</v>
      </c>
      <c r="Y50" s="54">
        <f t="shared" si="26"/>
        <v>0</v>
      </c>
      <c r="Z50" s="54">
        <f t="shared" si="26"/>
        <v>0</v>
      </c>
      <c r="AA50" s="30">
        <f t="shared" si="26"/>
        <v>144.5</v>
      </c>
      <c r="AB50" s="30">
        <f t="shared" si="26"/>
        <v>14.45</v>
      </c>
      <c r="AC50" s="30"/>
      <c r="AD50" s="59">
        <f>SUM(AD31:AD49)</f>
        <v>709444.8</v>
      </c>
      <c r="AE50" s="59" t="e">
        <f>SUM(AE31:AE49)</f>
        <v>#REF!</v>
      </c>
      <c r="AF50" s="55">
        <v>41520</v>
      </c>
    </row>
    <row r="51" spans="1:21" ht="12.75">
      <c r="A51">
        <v>1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2:22" ht="15.75">
      <c r="B52" s="62" t="s">
        <v>140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6" s="39" customFormat="1" ht="12" customHeight="1">
      <c r="A53" s="106" t="s">
        <v>62</v>
      </c>
      <c r="B53" s="106" t="s">
        <v>63</v>
      </c>
      <c r="C53" s="110" t="s">
        <v>64</v>
      </c>
      <c r="D53" s="110" t="s">
        <v>65</v>
      </c>
      <c r="E53" s="106" t="s">
        <v>66</v>
      </c>
      <c r="F53" s="112" t="s">
        <v>67</v>
      </c>
      <c r="G53" s="107" t="s">
        <v>111</v>
      </c>
      <c r="H53" s="108"/>
      <c r="I53" s="109"/>
      <c r="J53" s="106" t="s">
        <v>68</v>
      </c>
      <c r="K53" s="102" t="s">
        <v>124</v>
      </c>
      <c r="L53" s="102" t="s">
        <v>125</v>
      </c>
      <c r="M53" s="102" t="s">
        <v>126</v>
      </c>
      <c r="N53" s="102" t="s">
        <v>127</v>
      </c>
      <c r="O53" s="102" t="s">
        <v>128</v>
      </c>
      <c r="P53" s="102" t="s">
        <v>129</v>
      </c>
      <c r="Q53" s="102" t="s">
        <v>130</v>
      </c>
      <c r="R53" s="102" t="s">
        <v>131</v>
      </c>
      <c r="S53" s="102" t="s">
        <v>132</v>
      </c>
      <c r="T53" s="102" t="s">
        <v>133</v>
      </c>
      <c r="U53" s="102" t="s">
        <v>134</v>
      </c>
      <c r="V53" s="102" t="s">
        <v>69</v>
      </c>
      <c r="W53" s="104" t="s">
        <v>70</v>
      </c>
      <c r="X53" s="105">
        <v>1110</v>
      </c>
      <c r="Y53" s="105">
        <v>1120</v>
      </c>
      <c r="Z53" s="101" t="s">
        <v>71</v>
      </c>
    </row>
    <row r="54" spans="1:26" s="39" customFormat="1" ht="29.25" customHeight="1">
      <c r="A54" s="106"/>
      <c r="B54" s="106"/>
      <c r="C54" s="111"/>
      <c r="D54" s="111"/>
      <c r="E54" s="106"/>
      <c r="F54" s="113"/>
      <c r="G54" s="40" t="s">
        <v>112</v>
      </c>
      <c r="H54" s="40" t="s">
        <v>113</v>
      </c>
      <c r="I54" s="40" t="s">
        <v>114</v>
      </c>
      <c r="J54" s="106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4"/>
      <c r="X54" s="105"/>
      <c r="Y54" s="105"/>
      <c r="Z54" s="101"/>
    </row>
    <row r="55" spans="1:26" ht="12.75">
      <c r="A55" s="41"/>
      <c r="B55" s="42">
        <v>120300</v>
      </c>
      <c r="C55" s="42"/>
      <c r="D55" s="41"/>
      <c r="E55" s="41"/>
      <c r="F55" s="41"/>
      <c r="G55" s="41"/>
      <c r="H55" s="41"/>
      <c r="I55" s="41"/>
      <c r="J55" s="41"/>
      <c r="K55" s="47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3"/>
      <c r="X55" s="45"/>
      <c r="Y55" s="45"/>
      <c r="Z55" s="46"/>
    </row>
    <row r="56" spans="1:32" ht="12.75">
      <c r="A56" s="41">
        <v>1</v>
      </c>
      <c r="B56" s="41" t="s">
        <v>37</v>
      </c>
      <c r="C56" s="41"/>
      <c r="D56" s="41"/>
      <c r="E56" s="41"/>
      <c r="F56" s="41"/>
      <c r="G56" s="41"/>
      <c r="H56" s="41"/>
      <c r="I56" s="41"/>
      <c r="J56" s="41"/>
      <c r="K56" s="70">
        <f aca="true" t="shared" si="27" ref="K56:N57">ROUNDUP(K6*0.3,0)</f>
        <v>0</v>
      </c>
      <c r="L56" s="70">
        <f t="shared" si="27"/>
        <v>1162</v>
      </c>
      <c r="M56" s="70">
        <f t="shared" si="27"/>
        <v>1162</v>
      </c>
      <c r="N56" s="70">
        <f t="shared" si="27"/>
        <v>1162</v>
      </c>
      <c r="O56" s="70">
        <f aca="true" t="shared" si="28" ref="O56:V56">ROUNDUP(O6*0.3,0)</f>
        <v>1223</v>
      </c>
      <c r="P56" s="70">
        <f t="shared" si="28"/>
        <v>1223</v>
      </c>
      <c r="Q56" s="70">
        <f t="shared" si="28"/>
        <v>1223</v>
      </c>
      <c r="R56" s="70">
        <f t="shared" si="28"/>
        <v>1223</v>
      </c>
      <c r="S56" s="70">
        <f t="shared" si="28"/>
        <v>1223</v>
      </c>
      <c r="T56" s="70">
        <f t="shared" si="28"/>
        <v>1223</v>
      </c>
      <c r="U56" s="70">
        <f t="shared" si="28"/>
        <v>1223</v>
      </c>
      <c r="V56" s="70">
        <f t="shared" si="28"/>
        <v>1280</v>
      </c>
      <c r="W56" s="57">
        <f>SUM(K56:V56)</f>
        <v>13327</v>
      </c>
      <c r="X56" s="48"/>
      <c r="Y56" s="49"/>
      <c r="Z56" s="50"/>
      <c r="AA56" s="30">
        <f aca="true" t="shared" si="29" ref="AA56:AA69">K56/4</f>
        <v>0</v>
      </c>
      <c r="AB56" s="30">
        <f>AA56*0.3</f>
        <v>0</v>
      </c>
      <c r="AC56" s="30"/>
      <c r="AD56" s="60">
        <f>'[2]01.01.17(з мінім)'!$M$26</f>
        <v>60403.200000000004</v>
      </c>
      <c r="AE56" s="30" t="e">
        <f>X56-AD56-#REF!</f>
        <v>#REF!</v>
      </c>
      <c r="AF56">
        <f aca="true" t="shared" si="30" ref="AF56:AF69">W56/12</f>
        <v>1110.5833333333333</v>
      </c>
    </row>
    <row r="57" spans="1:32" ht="12.75">
      <c r="A57" s="41">
        <f aca="true" t="shared" si="31" ref="A57:A74">A56+1</f>
        <v>2</v>
      </c>
      <c r="B57" s="51" t="s">
        <v>72</v>
      </c>
      <c r="C57" s="51" t="s">
        <v>73</v>
      </c>
      <c r="D57" s="41"/>
      <c r="E57" s="41"/>
      <c r="F57" s="41"/>
      <c r="G57" s="41"/>
      <c r="H57" s="41"/>
      <c r="I57" s="41"/>
      <c r="J57" s="41"/>
      <c r="K57" s="70">
        <f t="shared" si="27"/>
        <v>1046</v>
      </c>
      <c r="L57" s="70">
        <f t="shared" si="27"/>
        <v>1046</v>
      </c>
      <c r="M57" s="70">
        <f t="shared" si="27"/>
        <v>1046</v>
      </c>
      <c r="N57" s="70">
        <f t="shared" si="27"/>
        <v>1046</v>
      </c>
      <c r="O57" s="70">
        <f aca="true" t="shared" si="32" ref="O57:V57">ROUNDUP(O7*0.3,0)</f>
        <v>1101</v>
      </c>
      <c r="P57" s="70">
        <f t="shared" si="32"/>
        <v>1101</v>
      </c>
      <c r="Q57" s="70">
        <f t="shared" si="32"/>
        <v>1101</v>
      </c>
      <c r="R57" s="70">
        <f t="shared" si="32"/>
        <v>1101</v>
      </c>
      <c r="S57" s="70">
        <f t="shared" si="32"/>
        <v>1101</v>
      </c>
      <c r="T57" s="70">
        <f t="shared" si="32"/>
        <v>1101</v>
      </c>
      <c r="U57" s="70">
        <f t="shared" si="32"/>
        <v>1101</v>
      </c>
      <c r="V57" s="70">
        <f t="shared" si="32"/>
        <v>1152</v>
      </c>
      <c r="W57" s="57">
        <f aca="true" t="shared" si="33" ref="W57:W74">SUM(K57:V57)</f>
        <v>13043</v>
      </c>
      <c r="X57" s="48"/>
      <c r="Y57" s="49"/>
      <c r="Z57" s="50"/>
      <c r="AA57" s="30">
        <f t="shared" si="29"/>
        <v>261.5</v>
      </c>
      <c r="AB57" s="30">
        <f>AA57*0.3</f>
        <v>78.45</v>
      </c>
      <c r="AC57" s="30"/>
      <c r="AD57" s="60">
        <f>'[2]01.01.17(з мінім)'!$M$27</f>
        <v>54366</v>
      </c>
      <c r="AE57" s="30" t="e">
        <f>X57-AD57-#REF!</f>
        <v>#REF!</v>
      </c>
      <c r="AF57">
        <f t="shared" si="30"/>
        <v>1086.9166666666667</v>
      </c>
    </row>
    <row r="58" spans="1:32" ht="12.75">
      <c r="A58" s="41">
        <f t="shared" si="31"/>
        <v>3</v>
      </c>
      <c r="B58" s="41" t="s">
        <v>75</v>
      </c>
      <c r="C58" s="41" t="s">
        <v>76</v>
      </c>
      <c r="D58" s="41"/>
      <c r="E58" s="41"/>
      <c r="F58" s="41"/>
      <c r="G58" s="41"/>
      <c r="H58" s="41"/>
      <c r="I58" s="41"/>
      <c r="J58" s="41"/>
      <c r="K58" s="70">
        <f>ROUNDUP(K8*0.3,0)</f>
        <v>0</v>
      </c>
      <c r="L58" s="70">
        <f aca="true" t="shared" si="34" ref="L58:V58">ROUNDUP(L8*0.3,0)</f>
        <v>1104</v>
      </c>
      <c r="M58" s="70">
        <f t="shared" si="34"/>
        <v>1104</v>
      </c>
      <c r="N58" s="70">
        <f t="shared" si="34"/>
        <v>1104</v>
      </c>
      <c r="O58" s="70">
        <f t="shared" si="34"/>
        <v>1162</v>
      </c>
      <c r="P58" s="70">
        <f t="shared" si="34"/>
        <v>1162</v>
      </c>
      <c r="Q58" s="70">
        <f t="shared" si="34"/>
        <v>1162</v>
      </c>
      <c r="R58" s="70">
        <f t="shared" si="34"/>
        <v>1162</v>
      </c>
      <c r="S58" s="70">
        <f t="shared" si="34"/>
        <v>1162</v>
      </c>
      <c r="T58" s="70">
        <f t="shared" si="34"/>
        <v>1162</v>
      </c>
      <c r="U58" s="70">
        <f t="shared" si="34"/>
        <v>1162</v>
      </c>
      <c r="V58" s="70">
        <f t="shared" si="34"/>
        <v>1216</v>
      </c>
      <c r="W58" s="57">
        <f t="shared" si="33"/>
        <v>12662</v>
      </c>
      <c r="X58" s="48"/>
      <c r="Y58" s="49"/>
      <c r="Z58" s="50"/>
      <c r="AA58" s="30">
        <f t="shared" si="29"/>
        <v>0</v>
      </c>
      <c r="AB58" s="30">
        <f>AA58*0.3</f>
        <v>0</v>
      </c>
      <c r="AC58" s="30"/>
      <c r="AD58" s="61">
        <v>57376.8</v>
      </c>
      <c r="AE58" s="30" t="e">
        <f>X58-AD58-#REF!</f>
        <v>#REF!</v>
      </c>
      <c r="AF58">
        <f t="shared" si="30"/>
        <v>1055.1666666666667</v>
      </c>
    </row>
    <row r="59" spans="1:32" ht="12.75">
      <c r="A59" s="41">
        <f t="shared" si="31"/>
        <v>4</v>
      </c>
      <c r="B59" s="41" t="s">
        <v>77</v>
      </c>
      <c r="C59" s="41" t="s">
        <v>78</v>
      </c>
      <c r="D59" s="41"/>
      <c r="E59" s="41"/>
      <c r="F59" s="41"/>
      <c r="G59" s="41"/>
      <c r="H59" s="41"/>
      <c r="I59" s="41"/>
      <c r="J59" s="41"/>
      <c r="K59" s="70">
        <f aca="true" t="shared" si="35" ref="K59:V59">ROUNDUP(K9*0.1,0)</f>
        <v>316</v>
      </c>
      <c r="L59" s="70">
        <f t="shared" si="35"/>
        <v>316</v>
      </c>
      <c r="M59" s="70">
        <f t="shared" si="35"/>
        <v>316</v>
      </c>
      <c r="N59" s="70">
        <f t="shared" si="35"/>
        <v>316</v>
      </c>
      <c r="O59" s="70">
        <f t="shared" si="35"/>
        <v>332</v>
      </c>
      <c r="P59" s="70">
        <f t="shared" si="35"/>
        <v>332</v>
      </c>
      <c r="Q59" s="70">
        <f t="shared" si="35"/>
        <v>332</v>
      </c>
      <c r="R59" s="70">
        <f t="shared" si="35"/>
        <v>332</v>
      </c>
      <c r="S59" s="70">
        <f t="shared" si="35"/>
        <v>332</v>
      </c>
      <c r="T59" s="70">
        <f t="shared" si="35"/>
        <v>332</v>
      </c>
      <c r="U59" s="70">
        <f t="shared" si="35"/>
        <v>332</v>
      </c>
      <c r="V59" s="70">
        <f t="shared" si="35"/>
        <v>348</v>
      </c>
      <c r="W59" s="57">
        <f t="shared" si="33"/>
        <v>3936</v>
      </c>
      <c r="X59" s="48"/>
      <c r="Y59" s="49"/>
      <c r="Z59" s="50"/>
      <c r="AA59" s="30">
        <f t="shared" si="29"/>
        <v>79</v>
      </c>
      <c r="AB59" s="30">
        <f aca="true" t="shared" si="36" ref="AB59:AB65">AA59*0.1</f>
        <v>7.9</v>
      </c>
      <c r="AC59" s="30"/>
      <c r="AD59" s="30">
        <f>'[2]01.01.17(з мінім)'!$M$30</f>
        <v>42240</v>
      </c>
      <c r="AE59" s="30" t="e">
        <f>X59-AD59-#REF!</f>
        <v>#REF!</v>
      </c>
      <c r="AF59">
        <f t="shared" si="30"/>
        <v>328</v>
      </c>
    </row>
    <row r="60" spans="1:32" ht="12.75">
      <c r="A60" s="41">
        <f t="shared" si="31"/>
        <v>5</v>
      </c>
      <c r="B60" s="41" t="s">
        <v>77</v>
      </c>
      <c r="C60" s="41" t="s">
        <v>79</v>
      </c>
      <c r="D60" s="41"/>
      <c r="E60" s="41"/>
      <c r="F60" s="41"/>
      <c r="G60" s="41"/>
      <c r="H60" s="41"/>
      <c r="I60" s="41"/>
      <c r="J60" s="41"/>
      <c r="K60" s="70">
        <f aca="true" t="shared" si="37" ref="K60:V60">ROUNDUP(K10*0.1,0)</f>
        <v>316</v>
      </c>
      <c r="L60" s="70">
        <f t="shared" si="37"/>
        <v>316</v>
      </c>
      <c r="M60" s="70">
        <f t="shared" si="37"/>
        <v>316</v>
      </c>
      <c r="N60" s="70">
        <f t="shared" si="37"/>
        <v>316</v>
      </c>
      <c r="O60" s="70">
        <f t="shared" si="37"/>
        <v>332</v>
      </c>
      <c r="P60" s="70">
        <f t="shared" si="37"/>
        <v>332</v>
      </c>
      <c r="Q60" s="70">
        <f t="shared" si="37"/>
        <v>332</v>
      </c>
      <c r="R60" s="70">
        <f t="shared" si="37"/>
        <v>332</v>
      </c>
      <c r="S60" s="70">
        <f t="shared" si="37"/>
        <v>332</v>
      </c>
      <c r="T60" s="70">
        <f t="shared" si="37"/>
        <v>332</v>
      </c>
      <c r="U60" s="70">
        <f t="shared" si="37"/>
        <v>332</v>
      </c>
      <c r="V60" s="70">
        <f t="shared" si="37"/>
        <v>348</v>
      </c>
      <c r="W60" s="57">
        <f t="shared" si="33"/>
        <v>3936</v>
      </c>
      <c r="X60" s="48"/>
      <c r="Y60" s="49"/>
      <c r="Z60" s="50"/>
      <c r="AA60" s="30">
        <f t="shared" si="29"/>
        <v>79</v>
      </c>
      <c r="AB60" s="30">
        <f t="shared" si="36"/>
        <v>7.9</v>
      </c>
      <c r="AC60" s="30"/>
      <c r="AD60" s="30">
        <f>AD59</f>
        <v>42240</v>
      </c>
      <c r="AE60" s="30" t="e">
        <f>X60-AD60-#REF!</f>
        <v>#REF!</v>
      </c>
      <c r="AF60">
        <f t="shared" si="30"/>
        <v>328</v>
      </c>
    </row>
    <row r="61" spans="1:32" ht="12.75">
      <c r="A61" s="41">
        <f t="shared" si="31"/>
        <v>6</v>
      </c>
      <c r="B61" s="41" t="s">
        <v>80</v>
      </c>
      <c r="C61" s="41" t="s">
        <v>81</v>
      </c>
      <c r="D61" s="41"/>
      <c r="E61" s="41"/>
      <c r="F61" s="41"/>
      <c r="G61" s="41"/>
      <c r="H61" s="41"/>
      <c r="I61" s="41"/>
      <c r="J61" s="41"/>
      <c r="K61" s="70">
        <f>ROUNDUP(K11*0.3,0)</f>
        <v>740</v>
      </c>
      <c r="L61" s="70">
        <f>ROUNDUP(L11*0.3,0)</f>
        <v>740</v>
      </c>
      <c r="M61" s="70">
        <f>ROUNDUP(M11*0.3,0)</f>
        <v>740</v>
      </c>
      <c r="N61" s="70">
        <f>ROUNDUP(N11*0.3,0)</f>
        <v>740</v>
      </c>
      <c r="O61" s="70">
        <f>ROUNDUP(O11*0.25,0)</f>
        <v>649</v>
      </c>
      <c r="P61" s="70">
        <f aca="true" t="shared" si="38" ref="P61:U61">ROUNDUP(P11*0.25,0)</f>
        <v>649</v>
      </c>
      <c r="Q61" s="70">
        <f t="shared" si="38"/>
        <v>649</v>
      </c>
      <c r="R61" s="70">
        <f t="shared" si="38"/>
        <v>649</v>
      </c>
      <c r="S61" s="70">
        <f t="shared" si="38"/>
        <v>649</v>
      </c>
      <c r="T61" s="70">
        <f t="shared" si="38"/>
        <v>649</v>
      </c>
      <c r="U61" s="70">
        <f t="shared" si="38"/>
        <v>649</v>
      </c>
      <c r="V61" s="70">
        <f>ROUNDUP(V11*0.2,0)</f>
        <v>543</v>
      </c>
      <c r="W61" s="57">
        <f t="shared" si="33"/>
        <v>8046</v>
      </c>
      <c r="X61" s="48"/>
      <c r="Y61" s="49"/>
      <c r="Z61" s="50"/>
      <c r="AA61" s="30">
        <f t="shared" si="29"/>
        <v>185</v>
      </c>
      <c r="AB61" s="30">
        <f t="shared" si="36"/>
        <v>18.5</v>
      </c>
      <c r="AC61" s="30"/>
      <c r="AD61" s="30">
        <f>AD60</f>
        <v>42240</v>
      </c>
      <c r="AE61" s="30" t="e">
        <f>X61-AD61-#REF!</f>
        <v>#REF!</v>
      </c>
      <c r="AF61">
        <f t="shared" si="30"/>
        <v>670.5</v>
      </c>
    </row>
    <row r="62" spans="1:32" ht="12.75">
      <c r="A62" s="41">
        <f t="shared" si="31"/>
        <v>7</v>
      </c>
      <c r="B62" s="41" t="s">
        <v>80</v>
      </c>
      <c r="C62" s="41" t="s">
        <v>82</v>
      </c>
      <c r="D62" s="41"/>
      <c r="E62" s="41"/>
      <c r="F62" s="41"/>
      <c r="G62" s="41"/>
      <c r="H62" s="41"/>
      <c r="I62" s="41"/>
      <c r="J62" s="41"/>
      <c r="K62" s="70">
        <f aca="true" t="shared" si="39" ref="K62:N63">ROUNDUP(K12*0.25,0)</f>
        <v>616</v>
      </c>
      <c r="L62" s="70">
        <f t="shared" si="39"/>
        <v>616</v>
      </c>
      <c r="M62" s="70">
        <f t="shared" si="39"/>
        <v>616</v>
      </c>
      <c r="N62" s="70">
        <f t="shared" si="39"/>
        <v>616</v>
      </c>
      <c r="O62" s="70">
        <f>ROUNDUP(O12*0.2,0)</f>
        <v>519</v>
      </c>
      <c r="P62" s="70">
        <f aca="true" t="shared" si="40" ref="P62:U62">ROUNDUP(P12*0.2,0)</f>
        <v>519</v>
      </c>
      <c r="Q62" s="70">
        <f t="shared" si="40"/>
        <v>519</v>
      </c>
      <c r="R62" s="70">
        <f t="shared" si="40"/>
        <v>519</v>
      </c>
      <c r="S62" s="70">
        <f t="shared" si="40"/>
        <v>519</v>
      </c>
      <c r="T62" s="70">
        <f t="shared" si="40"/>
        <v>519</v>
      </c>
      <c r="U62" s="70">
        <f t="shared" si="40"/>
        <v>519</v>
      </c>
      <c r="V62" s="70">
        <f>ROUNDUP(V12*0.15,0)</f>
        <v>407</v>
      </c>
      <c r="W62" s="57">
        <f t="shared" si="33"/>
        <v>6504</v>
      </c>
      <c r="X62" s="48"/>
      <c r="Y62" s="49"/>
      <c r="Z62" s="50"/>
      <c r="AA62" s="30">
        <f t="shared" si="29"/>
        <v>154</v>
      </c>
      <c r="AB62" s="30">
        <f t="shared" si="36"/>
        <v>15.4</v>
      </c>
      <c r="AC62" s="30"/>
      <c r="AD62">
        <v>48000</v>
      </c>
      <c r="AE62" s="30" t="e">
        <f>X62-AD62-#REF!</f>
        <v>#REF!</v>
      </c>
      <c r="AF62">
        <f t="shared" si="30"/>
        <v>542</v>
      </c>
    </row>
    <row r="63" spans="1:32" ht="12.75">
      <c r="A63" s="41">
        <f t="shared" si="31"/>
        <v>8</v>
      </c>
      <c r="B63" s="41" t="s">
        <v>83</v>
      </c>
      <c r="C63" s="41" t="s">
        <v>143</v>
      </c>
      <c r="D63" s="41"/>
      <c r="E63" s="41"/>
      <c r="F63" s="41"/>
      <c r="G63" s="41"/>
      <c r="H63" s="41"/>
      <c r="I63" s="41"/>
      <c r="J63" s="41"/>
      <c r="K63" s="70">
        <f t="shared" si="39"/>
        <v>872</v>
      </c>
      <c r="L63" s="70">
        <f t="shared" si="39"/>
        <v>872</v>
      </c>
      <c r="M63" s="70">
        <f t="shared" si="39"/>
        <v>872</v>
      </c>
      <c r="N63" s="70">
        <f t="shared" si="39"/>
        <v>872</v>
      </c>
      <c r="O63" s="70">
        <f>ROUNDUP(O13*0.2,0)</f>
        <v>734</v>
      </c>
      <c r="P63" s="70">
        <f aca="true" t="shared" si="41" ref="P63:U63">ROUNDUP(P13*0.2,0)</f>
        <v>734</v>
      </c>
      <c r="Q63" s="70">
        <f t="shared" si="41"/>
        <v>734</v>
      </c>
      <c r="R63" s="70">
        <f t="shared" si="41"/>
        <v>734</v>
      </c>
      <c r="S63" s="70">
        <f t="shared" si="41"/>
        <v>734</v>
      </c>
      <c r="T63" s="70">
        <f t="shared" si="41"/>
        <v>734</v>
      </c>
      <c r="U63" s="70">
        <f t="shared" si="41"/>
        <v>734</v>
      </c>
      <c r="V63" s="70">
        <f>ROUNDUP(V13*0.15,0)</f>
        <v>576</v>
      </c>
      <c r="W63" s="57">
        <f t="shared" si="33"/>
        <v>9202</v>
      </c>
      <c r="X63" s="48"/>
      <c r="Y63" s="49"/>
      <c r="Z63" s="50"/>
      <c r="AA63" s="30">
        <f t="shared" si="29"/>
        <v>218</v>
      </c>
      <c r="AB63" s="30">
        <f t="shared" si="36"/>
        <v>21.8</v>
      </c>
      <c r="AC63" s="30"/>
      <c r="AD63">
        <v>46002</v>
      </c>
      <c r="AE63" s="30" t="e">
        <f>X63-AD63-#REF!</f>
        <v>#REF!</v>
      </c>
      <c r="AF63">
        <f t="shared" si="30"/>
        <v>766.8333333333334</v>
      </c>
    </row>
    <row r="64" spans="1:32" ht="12.75">
      <c r="A64" s="41">
        <f t="shared" si="31"/>
        <v>9</v>
      </c>
      <c r="B64" s="41" t="s">
        <v>77</v>
      </c>
      <c r="C64" s="41" t="s">
        <v>84</v>
      </c>
      <c r="D64" s="41"/>
      <c r="E64" s="41"/>
      <c r="F64" s="41"/>
      <c r="G64" s="41"/>
      <c r="H64" s="41"/>
      <c r="I64" s="41"/>
      <c r="J64" s="41"/>
      <c r="K64" s="70">
        <f aca="true" t="shared" si="42" ref="K64:V64">ROUNDUP(K14*0.1,0)</f>
        <v>316</v>
      </c>
      <c r="L64" s="70">
        <f t="shared" si="42"/>
        <v>316</v>
      </c>
      <c r="M64" s="70">
        <f t="shared" si="42"/>
        <v>316</v>
      </c>
      <c r="N64" s="70">
        <f t="shared" si="42"/>
        <v>316</v>
      </c>
      <c r="O64" s="70">
        <f t="shared" si="42"/>
        <v>332</v>
      </c>
      <c r="P64" s="70">
        <f t="shared" si="42"/>
        <v>332</v>
      </c>
      <c r="Q64" s="70">
        <f t="shared" si="42"/>
        <v>332</v>
      </c>
      <c r="R64" s="70">
        <f t="shared" si="42"/>
        <v>332</v>
      </c>
      <c r="S64" s="70">
        <f t="shared" si="42"/>
        <v>332</v>
      </c>
      <c r="T64" s="70">
        <f t="shared" si="42"/>
        <v>332</v>
      </c>
      <c r="U64" s="70">
        <f t="shared" si="42"/>
        <v>332</v>
      </c>
      <c r="V64" s="70">
        <f t="shared" si="42"/>
        <v>348</v>
      </c>
      <c r="W64" s="57">
        <f t="shared" si="33"/>
        <v>3936</v>
      </c>
      <c r="X64" s="48"/>
      <c r="Y64" s="49"/>
      <c r="Z64" s="50"/>
      <c r="AA64" s="30">
        <f t="shared" si="29"/>
        <v>79</v>
      </c>
      <c r="AB64" s="30">
        <f t="shared" si="36"/>
        <v>7.9</v>
      </c>
      <c r="AC64" s="30"/>
      <c r="AD64" s="30">
        <f>AD61</f>
        <v>42240</v>
      </c>
      <c r="AE64" s="30" t="e">
        <f>X64-AD64-#REF!</f>
        <v>#REF!</v>
      </c>
      <c r="AF64">
        <f t="shared" si="30"/>
        <v>328</v>
      </c>
    </row>
    <row r="65" spans="1:32" ht="12.75">
      <c r="A65" s="41">
        <f t="shared" si="31"/>
        <v>10</v>
      </c>
      <c r="B65" s="41" t="s">
        <v>77</v>
      </c>
      <c r="C65" s="41" t="s">
        <v>85</v>
      </c>
      <c r="D65" s="41"/>
      <c r="E65" s="41"/>
      <c r="F65" s="41"/>
      <c r="G65" s="41"/>
      <c r="H65" s="41"/>
      <c r="I65" s="41"/>
      <c r="J65" s="41"/>
      <c r="K65" s="70">
        <f aca="true" t="shared" si="43" ref="K65:V65">ROUNDUP(K15*0.1,0)</f>
        <v>316</v>
      </c>
      <c r="L65" s="70">
        <f t="shared" si="43"/>
        <v>316</v>
      </c>
      <c r="M65" s="70">
        <f t="shared" si="43"/>
        <v>316</v>
      </c>
      <c r="N65" s="70">
        <f t="shared" si="43"/>
        <v>316</v>
      </c>
      <c r="O65" s="70">
        <f t="shared" si="43"/>
        <v>332</v>
      </c>
      <c r="P65" s="70">
        <f t="shared" si="43"/>
        <v>332</v>
      </c>
      <c r="Q65" s="70">
        <f t="shared" si="43"/>
        <v>332</v>
      </c>
      <c r="R65" s="70">
        <f t="shared" si="43"/>
        <v>332</v>
      </c>
      <c r="S65" s="70">
        <f t="shared" si="43"/>
        <v>332</v>
      </c>
      <c r="T65" s="70">
        <f t="shared" si="43"/>
        <v>332</v>
      </c>
      <c r="U65" s="70">
        <f t="shared" si="43"/>
        <v>332</v>
      </c>
      <c r="V65" s="70">
        <f t="shared" si="43"/>
        <v>348</v>
      </c>
      <c r="W65" s="57">
        <f t="shared" si="33"/>
        <v>3936</v>
      </c>
      <c r="X65" s="48"/>
      <c r="Y65" s="49"/>
      <c r="Z65" s="50"/>
      <c r="AA65" s="30">
        <f t="shared" si="29"/>
        <v>79</v>
      </c>
      <c r="AB65" s="30">
        <f t="shared" si="36"/>
        <v>7.9</v>
      </c>
      <c r="AC65" s="30"/>
      <c r="AD65" s="30">
        <f>AD64</f>
        <v>42240</v>
      </c>
      <c r="AE65" s="30" t="e">
        <f>X65-AD65-#REF!</f>
        <v>#REF!</v>
      </c>
      <c r="AF65">
        <f t="shared" si="30"/>
        <v>328</v>
      </c>
    </row>
    <row r="66" spans="1:32" ht="12.75">
      <c r="A66" s="41">
        <f t="shared" si="31"/>
        <v>11</v>
      </c>
      <c r="B66" s="41" t="s">
        <v>75</v>
      </c>
      <c r="C66" s="41" t="s">
        <v>116</v>
      </c>
      <c r="D66" s="41"/>
      <c r="E66" s="41"/>
      <c r="F66" s="41"/>
      <c r="G66" s="41"/>
      <c r="H66" s="41"/>
      <c r="I66" s="41"/>
      <c r="J66" s="41"/>
      <c r="K66" s="70">
        <f>ROUNDUP(K16*0.3,0)</f>
        <v>1104</v>
      </c>
      <c r="L66" s="70">
        <f aca="true" t="shared" si="44" ref="L66:V66">ROUNDUP(L16*0.3,0)</f>
        <v>1104</v>
      </c>
      <c r="M66" s="70">
        <f t="shared" si="44"/>
        <v>1104</v>
      </c>
      <c r="N66" s="70">
        <f t="shared" si="44"/>
        <v>1104</v>
      </c>
      <c r="O66" s="70">
        <f t="shared" si="44"/>
        <v>1162</v>
      </c>
      <c r="P66" s="70">
        <f t="shared" si="44"/>
        <v>1162</v>
      </c>
      <c r="Q66" s="70">
        <f t="shared" si="44"/>
        <v>1162</v>
      </c>
      <c r="R66" s="70">
        <f t="shared" si="44"/>
        <v>1162</v>
      </c>
      <c r="S66" s="70">
        <f t="shared" si="44"/>
        <v>1162</v>
      </c>
      <c r="T66" s="70">
        <f t="shared" si="44"/>
        <v>1162</v>
      </c>
      <c r="U66" s="70">
        <f t="shared" si="44"/>
        <v>1162</v>
      </c>
      <c r="V66" s="70">
        <f t="shared" si="44"/>
        <v>1216</v>
      </c>
      <c r="W66" s="57">
        <f t="shared" si="33"/>
        <v>13766</v>
      </c>
      <c r="X66" s="48"/>
      <c r="Y66" s="49"/>
      <c r="Z66" s="50"/>
      <c r="AA66" s="30">
        <f t="shared" si="29"/>
        <v>276</v>
      </c>
      <c r="AB66" s="30">
        <f>AA66*0.3</f>
        <v>82.8</v>
      </c>
      <c r="AC66" s="30"/>
      <c r="AD66" s="61">
        <v>57376.8</v>
      </c>
      <c r="AE66" s="30" t="e">
        <f>X66-AD66-#REF!</f>
        <v>#REF!</v>
      </c>
      <c r="AF66">
        <f t="shared" si="30"/>
        <v>1147.1666666666667</v>
      </c>
    </row>
    <row r="67" spans="1:32" ht="12.75">
      <c r="A67" s="41">
        <f t="shared" si="31"/>
        <v>12</v>
      </c>
      <c r="B67" s="41" t="s">
        <v>77</v>
      </c>
      <c r="C67" s="41" t="s">
        <v>117</v>
      </c>
      <c r="D67" s="41"/>
      <c r="E67" s="41"/>
      <c r="F67" s="41"/>
      <c r="G67" s="41"/>
      <c r="H67" s="41"/>
      <c r="I67" s="41"/>
      <c r="J67" s="41"/>
      <c r="K67" s="70">
        <f aca="true" t="shared" si="45" ref="K67:V67">ROUNDUP(K17*0.1,0)</f>
        <v>316</v>
      </c>
      <c r="L67" s="70">
        <f t="shared" si="45"/>
        <v>316</v>
      </c>
      <c r="M67" s="70">
        <f t="shared" si="45"/>
        <v>316</v>
      </c>
      <c r="N67" s="70">
        <f t="shared" si="45"/>
        <v>316</v>
      </c>
      <c r="O67" s="70">
        <f t="shared" si="45"/>
        <v>332</v>
      </c>
      <c r="P67" s="70">
        <f t="shared" si="45"/>
        <v>332</v>
      </c>
      <c r="Q67" s="70">
        <f t="shared" si="45"/>
        <v>332</v>
      </c>
      <c r="R67" s="70">
        <f t="shared" si="45"/>
        <v>332</v>
      </c>
      <c r="S67" s="70">
        <f t="shared" si="45"/>
        <v>332</v>
      </c>
      <c r="T67" s="70">
        <f t="shared" si="45"/>
        <v>332</v>
      </c>
      <c r="U67" s="70">
        <f t="shared" si="45"/>
        <v>332</v>
      </c>
      <c r="V67" s="70">
        <f t="shared" si="45"/>
        <v>348</v>
      </c>
      <c r="W67" s="57">
        <f t="shared" si="33"/>
        <v>3936</v>
      </c>
      <c r="X67" s="48"/>
      <c r="Y67" s="49"/>
      <c r="Z67" s="50"/>
      <c r="AA67" s="30">
        <f t="shared" si="29"/>
        <v>79</v>
      </c>
      <c r="AB67" s="30">
        <f>AA67*0.1</f>
        <v>7.9</v>
      </c>
      <c r="AC67" s="30"/>
      <c r="AD67" s="30">
        <f>AD65</f>
        <v>42240</v>
      </c>
      <c r="AE67" s="30" t="e">
        <f>X67-AD67-#REF!</f>
        <v>#REF!</v>
      </c>
      <c r="AF67">
        <f t="shared" si="30"/>
        <v>328</v>
      </c>
    </row>
    <row r="68" spans="1:32" ht="12.75">
      <c r="A68" s="41">
        <f t="shared" si="31"/>
        <v>13</v>
      </c>
      <c r="B68" s="41" t="s">
        <v>77</v>
      </c>
      <c r="C68" s="41" t="s">
        <v>118</v>
      </c>
      <c r="D68" s="41"/>
      <c r="E68" s="41"/>
      <c r="F68" s="41"/>
      <c r="G68" s="41"/>
      <c r="H68" s="41"/>
      <c r="I68" s="41"/>
      <c r="J68" s="41"/>
      <c r="K68" s="70">
        <f>ROUNDUP(K18*0.3,0)</f>
        <v>1104</v>
      </c>
      <c r="L68" s="70">
        <f aca="true" t="shared" si="46" ref="L68:V68">ROUNDUP(L18*0.1,0)</f>
        <v>316</v>
      </c>
      <c r="M68" s="70">
        <f t="shared" si="46"/>
        <v>316</v>
      </c>
      <c r="N68" s="70">
        <f t="shared" si="46"/>
        <v>316</v>
      </c>
      <c r="O68" s="70">
        <f t="shared" si="46"/>
        <v>332</v>
      </c>
      <c r="P68" s="70">
        <f t="shared" si="46"/>
        <v>332</v>
      </c>
      <c r="Q68" s="70">
        <f t="shared" si="46"/>
        <v>332</v>
      </c>
      <c r="R68" s="70">
        <f t="shared" si="46"/>
        <v>332</v>
      </c>
      <c r="S68" s="70">
        <f t="shared" si="46"/>
        <v>332</v>
      </c>
      <c r="T68" s="70">
        <f t="shared" si="46"/>
        <v>332</v>
      </c>
      <c r="U68" s="70">
        <f t="shared" si="46"/>
        <v>332</v>
      </c>
      <c r="V68" s="70">
        <f t="shared" si="46"/>
        <v>348</v>
      </c>
      <c r="W68" s="57">
        <f t="shared" si="33"/>
        <v>4724</v>
      </c>
      <c r="X68" s="48"/>
      <c r="Y68" s="49"/>
      <c r="Z68" s="50"/>
      <c r="AA68" s="30">
        <f t="shared" si="29"/>
        <v>276</v>
      </c>
      <c r="AB68" s="30">
        <f>AA68*0.1</f>
        <v>27.6</v>
      </c>
      <c r="AC68" s="30"/>
      <c r="AD68" s="30">
        <f>AD67</f>
        <v>42240</v>
      </c>
      <c r="AE68" s="30" t="e">
        <f>X68-AD68-#REF!</f>
        <v>#REF!</v>
      </c>
      <c r="AF68">
        <f t="shared" si="30"/>
        <v>393.6666666666667</v>
      </c>
    </row>
    <row r="69" spans="1:32" ht="12.75">
      <c r="A69" s="41">
        <f t="shared" si="31"/>
        <v>14</v>
      </c>
      <c r="B69" s="41" t="s">
        <v>77</v>
      </c>
      <c r="C69" s="41" t="s">
        <v>119</v>
      </c>
      <c r="D69" s="41"/>
      <c r="E69" s="41"/>
      <c r="F69" s="41"/>
      <c r="G69" s="41"/>
      <c r="H69" s="41"/>
      <c r="I69" s="41"/>
      <c r="J69" s="41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1"/>
      <c r="W69" s="57">
        <f t="shared" si="33"/>
        <v>0</v>
      </c>
      <c r="X69" s="48"/>
      <c r="Y69" s="49"/>
      <c r="Z69" s="50"/>
      <c r="AA69" s="30">
        <f t="shared" si="29"/>
        <v>0</v>
      </c>
      <c r="AB69" s="30">
        <f>AA69*0.1</f>
        <v>0</v>
      </c>
      <c r="AC69" s="30"/>
      <c r="AD69" s="30">
        <f>AD68</f>
        <v>42240</v>
      </c>
      <c r="AE69" s="30" t="e">
        <f>X69-AD69-#REF!</f>
        <v>#REF!</v>
      </c>
      <c r="AF69">
        <f t="shared" si="30"/>
        <v>0</v>
      </c>
    </row>
    <row r="70" spans="1:31" ht="12.75">
      <c r="A70" s="41">
        <f t="shared" si="31"/>
        <v>15</v>
      </c>
      <c r="B70" s="41" t="s">
        <v>77</v>
      </c>
      <c r="C70" s="41" t="s">
        <v>136</v>
      </c>
      <c r="D70" s="41"/>
      <c r="E70" s="41"/>
      <c r="F70" s="41"/>
      <c r="G70" s="41"/>
      <c r="H70" s="41"/>
      <c r="I70" s="41"/>
      <c r="J70" s="41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57">
        <f t="shared" si="33"/>
        <v>0</v>
      </c>
      <c r="X70" s="48"/>
      <c r="Y70" s="49"/>
      <c r="Z70" s="50"/>
      <c r="AA70" s="30"/>
      <c r="AB70" s="30"/>
      <c r="AC70" s="30"/>
      <c r="AD70" s="30"/>
      <c r="AE70" s="30"/>
    </row>
    <row r="71" spans="1:31" ht="12.75">
      <c r="A71" s="41">
        <f t="shared" si="31"/>
        <v>16</v>
      </c>
      <c r="B71" s="41" t="s">
        <v>77</v>
      </c>
      <c r="C71" s="41" t="s">
        <v>137</v>
      </c>
      <c r="D71" s="41"/>
      <c r="E71" s="41"/>
      <c r="F71" s="41"/>
      <c r="G71" s="41"/>
      <c r="H71" s="41"/>
      <c r="I71" s="41"/>
      <c r="J71" s="41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57">
        <f t="shared" si="33"/>
        <v>0</v>
      </c>
      <c r="X71" s="48"/>
      <c r="Y71" s="49"/>
      <c r="Z71" s="50"/>
      <c r="AA71" s="30"/>
      <c r="AB71" s="30"/>
      <c r="AC71" s="30"/>
      <c r="AD71" s="30"/>
      <c r="AE71" s="30"/>
    </row>
    <row r="72" spans="1:31" ht="12.75">
      <c r="A72" s="41">
        <v>17</v>
      </c>
      <c r="B72" s="41" t="s">
        <v>77</v>
      </c>
      <c r="C72" s="41" t="s">
        <v>142</v>
      </c>
      <c r="D72" s="41"/>
      <c r="E72" s="41"/>
      <c r="F72" s="41"/>
      <c r="G72" s="41"/>
      <c r="H72" s="41"/>
      <c r="I72" s="41"/>
      <c r="J72" s="41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4"/>
      <c r="W72" s="57">
        <f t="shared" si="33"/>
        <v>0</v>
      </c>
      <c r="X72" s="48"/>
      <c r="Y72" s="49"/>
      <c r="Z72" s="50"/>
      <c r="AA72" s="30"/>
      <c r="AB72" s="30"/>
      <c r="AC72" s="30"/>
      <c r="AD72" s="30"/>
      <c r="AE72" s="30"/>
    </row>
    <row r="73" spans="1:31" ht="12.75">
      <c r="A73" s="41">
        <f>A71+1</f>
        <v>17</v>
      </c>
      <c r="B73" s="41" t="s">
        <v>120</v>
      </c>
      <c r="C73" s="41" t="s">
        <v>138</v>
      </c>
      <c r="D73" s="41"/>
      <c r="E73" s="41"/>
      <c r="F73" s="41"/>
      <c r="G73" s="41"/>
      <c r="H73" s="41"/>
      <c r="I73" s="41"/>
      <c r="J73" s="41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57">
        <f t="shared" si="33"/>
        <v>0</v>
      </c>
      <c r="X73" s="48"/>
      <c r="Y73" s="49"/>
      <c r="Z73" s="50"/>
      <c r="AA73" s="30"/>
      <c r="AB73" s="30"/>
      <c r="AC73" s="30"/>
      <c r="AD73" s="30"/>
      <c r="AE73" s="30"/>
    </row>
    <row r="74" spans="1:32" ht="12.75">
      <c r="A74" s="41">
        <f t="shared" si="31"/>
        <v>18</v>
      </c>
      <c r="B74" s="41" t="s">
        <v>120</v>
      </c>
      <c r="C74" s="41" t="s">
        <v>121</v>
      </c>
      <c r="D74" s="41"/>
      <c r="E74" s="41"/>
      <c r="F74" s="41"/>
      <c r="G74" s="41"/>
      <c r="H74" s="41"/>
      <c r="I74" s="41"/>
      <c r="J74" s="41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57">
        <f t="shared" si="33"/>
        <v>0</v>
      </c>
      <c r="X74" s="48"/>
      <c r="Y74" s="49"/>
      <c r="Z74" s="50"/>
      <c r="AA74" s="30">
        <f>K74/4</f>
        <v>0</v>
      </c>
      <c r="AB74" s="30">
        <f>AA74*0.1</f>
        <v>0</v>
      </c>
      <c r="AC74" s="30"/>
      <c r="AD74">
        <v>48000</v>
      </c>
      <c r="AE74" s="30" t="e">
        <f>X74-AD74-#REF!</f>
        <v>#REF!</v>
      </c>
      <c r="AF74">
        <f>W74/12</f>
        <v>0</v>
      </c>
    </row>
    <row r="75" spans="2:32" s="55" customFormat="1" ht="12.75">
      <c r="B75" s="52" t="s">
        <v>70</v>
      </c>
      <c r="C75" s="52"/>
      <c r="D75" s="52"/>
      <c r="E75" s="52"/>
      <c r="F75" s="53"/>
      <c r="G75" s="53"/>
      <c r="H75" s="53"/>
      <c r="I75" s="53"/>
      <c r="J75" s="53"/>
      <c r="K75" s="54">
        <f>ROUND(SUM(K56:K65)/10,0)*10</f>
        <v>4540</v>
      </c>
      <c r="L75" s="54">
        <f>ROUND(SUM(L56:L65)/10,0)*10</f>
        <v>6800</v>
      </c>
      <c r="M75" s="54">
        <f>ROUND(SUM(M56:M65)/10,0)*10</f>
        <v>6800</v>
      </c>
      <c r="N75" s="54">
        <f>ROUND(SUM(N56:N65)/10,0)*10</f>
        <v>6800</v>
      </c>
      <c r="O75" s="54">
        <f>ROUND(SUM(O56:O65)/10,0)*10</f>
        <v>6720</v>
      </c>
      <c r="P75" s="54">
        <f aca="true" t="shared" si="47" ref="P75:U75">ROUND(SUM(P56:P65)/10,0)*10</f>
        <v>6720</v>
      </c>
      <c r="Q75" s="54">
        <f t="shared" si="47"/>
        <v>6720</v>
      </c>
      <c r="R75" s="54">
        <f t="shared" si="47"/>
        <v>6720</v>
      </c>
      <c r="S75" s="54">
        <f t="shared" si="47"/>
        <v>6720</v>
      </c>
      <c r="T75" s="54">
        <f t="shared" si="47"/>
        <v>6720</v>
      </c>
      <c r="U75" s="54">
        <f t="shared" si="47"/>
        <v>6720</v>
      </c>
      <c r="V75" s="54">
        <f>ROUNDDOWN(SUM(V56:V65)/10,0)*10</f>
        <v>6560</v>
      </c>
      <c r="W75" s="54">
        <f aca="true" t="shared" si="48" ref="W75:AB75">SUM(W56:W74)</f>
        <v>100954</v>
      </c>
      <c r="X75" s="54">
        <f t="shared" si="48"/>
        <v>0</v>
      </c>
      <c r="Y75" s="54">
        <f t="shared" si="48"/>
        <v>0</v>
      </c>
      <c r="Z75" s="54">
        <f t="shared" si="48"/>
        <v>0</v>
      </c>
      <c r="AA75" s="30">
        <f t="shared" si="48"/>
        <v>1765.5</v>
      </c>
      <c r="AB75" s="30">
        <f t="shared" si="48"/>
        <v>284.05</v>
      </c>
      <c r="AC75" s="30"/>
      <c r="AD75" s="59">
        <f>SUM(AD56:AD74)</f>
        <v>709444.8</v>
      </c>
      <c r="AE75" s="59" t="e">
        <f>SUM(AE56:AE74)</f>
        <v>#REF!</v>
      </c>
      <c r="AF75" s="55">
        <v>41520</v>
      </c>
    </row>
    <row r="76" spans="1:21" ht="12.75">
      <c r="A76">
        <v>1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2:22" ht="15.75">
      <c r="B77" s="62" t="s">
        <v>141</v>
      </c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spans="1:26" s="39" customFormat="1" ht="12" customHeight="1">
      <c r="A78" s="106" t="s">
        <v>62</v>
      </c>
      <c r="B78" s="106" t="s">
        <v>63</v>
      </c>
      <c r="C78" s="110" t="s">
        <v>64</v>
      </c>
      <c r="D78" s="110" t="s">
        <v>65</v>
      </c>
      <c r="E78" s="106" t="s">
        <v>66</v>
      </c>
      <c r="F78" s="112" t="s">
        <v>67</v>
      </c>
      <c r="G78" s="107" t="s">
        <v>111</v>
      </c>
      <c r="H78" s="108"/>
      <c r="I78" s="109"/>
      <c r="J78" s="106" t="s">
        <v>68</v>
      </c>
      <c r="K78" s="102" t="s">
        <v>124</v>
      </c>
      <c r="L78" s="102" t="s">
        <v>125</v>
      </c>
      <c r="M78" s="102" t="s">
        <v>126</v>
      </c>
      <c r="N78" s="102" t="s">
        <v>127</v>
      </c>
      <c r="O78" s="102" t="s">
        <v>128</v>
      </c>
      <c r="P78" s="102" t="s">
        <v>129</v>
      </c>
      <c r="Q78" s="102" t="s">
        <v>130</v>
      </c>
      <c r="R78" s="102" t="s">
        <v>131</v>
      </c>
      <c r="S78" s="102" t="s">
        <v>132</v>
      </c>
      <c r="T78" s="102" t="s">
        <v>133</v>
      </c>
      <c r="U78" s="102" t="s">
        <v>134</v>
      </c>
      <c r="V78" s="102" t="s">
        <v>69</v>
      </c>
      <c r="W78" s="104" t="s">
        <v>70</v>
      </c>
      <c r="X78" s="105">
        <v>1110</v>
      </c>
      <c r="Y78" s="105">
        <v>1120</v>
      </c>
      <c r="Z78" s="101" t="s">
        <v>71</v>
      </c>
    </row>
    <row r="79" spans="1:26" s="39" customFormat="1" ht="29.25" customHeight="1">
      <c r="A79" s="106"/>
      <c r="B79" s="106"/>
      <c r="C79" s="111"/>
      <c r="D79" s="111"/>
      <c r="E79" s="106"/>
      <c r="F79" s="113"/>
      <c r="G79" s="40" t="s">
        <v>112</v>
      </c>
      <c r="H79" s="40" t="s">
        <v>113</v>
      </c>
      <c r="I79" s="40" t="s">
        <v>114</v>
      </c>
      <c r="J79" s="106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4"/>
      <c r="X79" s="105"/>
      <c r="Y79" s="105"/>
      <c r="Z79" s="101"/>
    </row>
    <row r="80" spans="1:26" ht="12.75">
      <c r="A80" s="41"/>
      <c r="B80" s="42">
        <v>120300</v>
      </c>
      <c r="C80" s="42"/>
      <c r="D80" s="41"/>
      <c r="E80" s="41"/>
      <c r="F80" s="41"/>
      <c r="G80" s="41"/>
      <c r="H80" s="41"/>
      <c r="I80" s="41"/>
      <c r="J80" s="41"/>
      <c r="K80" s="47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3"/>
      <c r="X80" s="45"/>
      <c r="Y80" s="45"/>
      <c r="Z80" s="46"/>
    </row>
    <row r="81" spans="1:32" ht="12.75">
      <c r="A81" s="41">
        <v>1</v>
      </c>
      <c r="B81" s="41" t="s">
        <v>37</v>
      </c>
      <c r="C81" s="41"/>
      <c r="D81" s="41"/>
      <c r="E81" s="41"/>
      <c r="F81" s="41"/>
      <c r="G81" s="41"/>
      <c r="H81" s="41"/>
      <c r="I81" s="41"/>
      <c r="J81" s="41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57">
        <f>SUM(K81:V81)</f>
        <v>0</v>
      </c>
      <c r="X81" s="48"/>
      <c r="Y81" s="49"/>
      <c r="Z81" s="50"/>
      <c r="AA81" s="30">
        <f aca="true" t="shared" si="49" ref="AA81:AA94">K81/4</f>
        <v>0</v>
      </c>
      <c r="AB81" s="30">
        <f>AA81*0.3</f>
        <v>0</v>
      </c>
      <c r="AC81" s="30"/>
      <c r="AD81" s="60">
        <f>'[2]01.01.17(з мінім)'!$M$26</f>
        <v>60403.200000000004</v>
      </c>
      <c r="AE81" s="30" t="e">
        <f>X81-AD81-#REF!</f>
        <v>#REF!</v>
      </c>
      <c r="AF81">
        <f aca="true" t="shared" si="50" ref="AF81:AF94">W81/12</f>
        <v>0</v>
      </c>
    </row>
    <row r="82" spans="1:32" ht="12.75">
      <c r="A82" s="41">
        <f aca="true" t="shared" si="51" ref="A82:A99">A81+1</f>
        <v>2</v>
      </c>
      <c r="B82" s="51" t="s">
        <v>72</v>
      </c>
      <c r="C82" s="51" t="s">
        <v>73</v>
      </c>
      <c r="D82" s="41"/>
      <c r="E82" s="41"/>
      <c r="F82" s="41"/>
      <c r="G82" s="41"/>
      <c r="H82" s="41"/>
      <c r="I82" s="41"/>
      <c r="J82" s="41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57">
        <f aca="true" t="shared" si="52" ref="W82:W99">SUM(K82:V82)</f>
        <v>0</v>
      </c>
      <c r="X82" s="48"/>
      <c r="Y82" s="49"/>
      <c r="Z82" s="50"/>
      <c r="AA82" s="30">
        <f t="shared" si="49"/>
        <v>0</v>
      </c>
      <c r="AB82" s="30">
        <f>AA82*0.3</f>
        <v>0</v>
      </c>
      <c r="AC82" s="30"/>
      <c r="AD82" s="60">
        <f>'[2]01.01.17(з мінім)'!$M$27</f>
        <v>54366</v>
      </c>
      <c r="AE82" s="30" t="e">
        <f>X82-AD82-#REF!</f>
        <v>#REF!</v>
      </c>
      <c r="AF82">
        <f t="shared" si="50"/>
        <v>0</v>
      </c>
    </row>
    <row r="83" spans="1:32" ht="12.75">
      <c r="A83" s="41">
        <f t="shared" si="51"/>
        <v>3</v>
      </c>
      <c r="B83" s="41" t="s">
        <v>75</v>
      </c>
      <c r="C83" s="41" t="s">
        <v>76</v>
      </c>
      <c r="D83" s="41"/>
      <c r="E83" s="41"/>
      <c r="F83" s="41"/>
      <c r="G83" s="41"/>
      <c r="H83" s="41"/>
      <c r="I83" s="41"/>
      <c r="J83" s="41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57">
        <f t="shared" si="52"/>
        <v>0</v>
      </c>
      <c r="X83" s="48"/>
      <c r="Y83" s="49"/>
      <c r="Z83" s="50"/>
      <c r="AA83" s="30">
        <f t="shared" si="49"/>
        <v>0</v>
      </c>
      <c r="AB83" s="30">
        <f>AA83*0.3</f>
        <v>0</v>
      </c>
      <c r="AC83" s="30"/>
      <c r="AD83" s="61">
        <v>57376.8</v>
      </c>
      <c r="AE83" s="30" t="e">
        <f>X83-AD83-#REF!</f>
        <v>#REF!</v>
      </c>
      <c r="AF83">
        <f t="shared" si="50"/>
        <v>0</v>
      </c>
    </row>
    <row r="84" spans="1:32" ht="12.75">
      <c r="A84" s="41">
        <f t="shared" si="51"/>
        <v>4</v>
      </c>
      <c r="B84" s="41" t="s">
        <v>77</v>
      </c>
      <c r="C84" s="41" t="s">
        <v>78</v>
      </c>
      <c r="D84" s="41"/>
      <c r="E84" s="41"/>
      <c r="F84" s="41"/>
      <c r="G84" s="41"/>
      <c r="H84" s="41"/>
      <c r="I84" s="41"/>
      <c r="J84" s="41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57">
        <f t="shared" si="52"/>
        <v>0</v>
      </c>
      <c r="X84" s="48"/>
      <c r="Y84" s="49"/>
      <c r="Z84" s="50"/>
      <c r="AA84" s="30">
        <f t="shared" si="49"/>
        <v>0</v>
      </c>
      <c r="AB84" s="30">
        <f aca="true" t="shared" si="53" ref="AB84:AB90">AA84*0.1</f>
        <v>0</v>
      </c>
      <c r="AC84" s="30"/>
      <c r="AD84" s="30">
        <f>'[2]01.01.17(з мінім)'!$M$30</f>
        <v>42240</v>
      </c>
      <c r="AE84" s="30" t="e">
        <f>X84-AD84-#REF!</f>
        <v>#REF!</v>
      </c>
      <c r="AF84">
        <f t="shared" si="50"/>
        <v>0</v>
      </c>
    </row>
    <row r="85" spans="1:32" ht="12.75">
      <c r="A85" s="41">
        <f t="shared" si="51"/>
        <v>5</v>
      </c>
      <c r="B85" s="41" t="s">
        <v>77</v>
      </c>
      <c r="C85" s="41" t="s">
        <v>79</v>
      </c>
      <c r="D85" s="41"/>
      <c r="E85" s="41"/>
      <c r="F85" s="41"/>
      <c r="G85" s="41"/>
      <c r="H85" s="41"/>
      <c r="I85" s="41"/>
      <c r="J85" s="41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57">
        <f t="shared" si="52"/>
        <v>0</v>
      </c>
      <c r="X85" s="48"/>
      <c r="Y85" s="49"/>
      <c r="Z85" s="50"/>
      <c r="AA85" s="30">
        <f t="shared" si="49"/>
        <v>0</v>
      </c>
      <c r="AB85" s="30">
        <f t="shared" si="53"/>
        <v>0</v>
      </c>
      <c r="AC85" s="30"/>
      <c r="AD85" s="30">
        <f>AD84</f>
        <v>42240</v>
      </c>
      <c r="AE85" s="30" t="e">
        <f>X85-AD85-#REF!</f>
        <v>#REF!</v>
      </c>
      <c r="AF85">
        <f t="shared" si="50"/>
        <v>0</v>
      </c>
    </row>
    <row r="86" spans="1:32" ht="12.75">
      <c r="A86" s="41">
        <f t="shared" si="51"/>
        <v>6</v>
      </c>
      <c r="B86" s="41" t="s">
        <v>80</v>
      </c>
      <c r="C86" s="41" t="s">
        <v>81</v>
      </c>
      <c r="D86" s="41"/>
      <c r="E86" s="41"/>
      <c r="F86" s="41"/>
      <c r="G86" s="41"/>
      <c r="H86" s="41"/>
      <c r="I86" s="41"/>
      <c r="J86" s="41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57">
        <f t="shared" si="52"/>
        <v>0</v>
      </c>
      <c r="X86" s="48"/>
      <c r="Y86" s="49"/>
      <c r="Z86" s="50"/>
      <c r="AA86" s="30">
        <f t="shared" si="49"/>
        <v>0</v>
      </c>
      <c r="AB86" s="30">
        <f t="shared" si="53"/>
        <v>0</v>
      </c>
      <c r="AC86" s="30"/>
      <c r="AD86" s="30">
        <f>AD85</f>
        <v>42240</v>
      </c>
      <c r="AE86" s="30" t="e">
        <f>X86-AD86-#REF!</f>
        <v>#REF!</v>
      </c>
      <c r="AF86">
        <f t="shared" si="50"/>
        <v>0</v>
      </c>
    </row>
    <row r="87" spans="1:32" ht="12.75">
      <c r="A87" s="41">
        <f t="shared" si="51"/>
        <v>7</v>
      </c>
      <c r="B87" s="41" t="s">
        <v>80</v>
      </c>
      <c r="C87" s="41" t="s">
        <v>82</v>
      </c>
      <c r="D87" s="41"/>
      <c r="E87" s="41"/>
      <c r="F87" s="41"/>
      <c r="G87" s="41"/>
      <c r="H87" s="41"/>
      <c r="I87" s="41"/>
      <c r="J87" s="41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57">
        <f t="shared" si="52"/>
        <v>0</v>
      </c>
      <c r="X87" s="48"/>
      <c r="Y87" s="49"/>
      <c r="Z87" s="50"/>
      <c r="AA87" s="30">
        <f t="shared" si="49"/>
        <v>0</v>
      </c>
      <c r="AB87" s="30">
        <f t="shared" si="53"/>
        <v>0</v>
      </c>
      <c r="AC87" s="30"/>
      <c r="AD87">
        <v>48000</v>
      </c>
      <c r="AE87" s="30" t="e">
        <f>X87-AD87-#REF!</f>
        <v>#REF!</v>
      </c>
      <c r="AF87">
        <f t="shared" si="50"/>
        <v>0</v>
      </c>
    </row>
    <row r="88" spans="1:32" ht="12.75">
      <c r="A88" s="41">
        <f t="shared" si="51"/>
        <v>8</v>
      </c>
      <c r="B88" s="41" t="s">
        <v>83</v>
      </c>
      <c r="C88" s="41" t="s">
        <v>143</v>
      </c>
      <c r="D88" s="41"/>
      <c r="E88" s="41"/>
      <c r="F88" s="41"/>
      <c r="G88" s="41"/>
      <c r="H88" s="41"/>
      <c r="I88" s="41"/>
      <c r="J88" s="41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57">
        <f t="shared" si="52"/>
        <v>0</v>
      </c>
      <c r="X88" s="48"/>
      <c r="Y88" s="49"/>
      <c r="Z88" s="50"/>
      <c r="AA88" s="30">
        <f t="shared" si="49"/>
        <v>0</v>
      </c>
      <c r="AB88" s="30">
        <f t="shared" si="53"/>
        <v>0</v>
      </c>
      <c r="AC88" s="30"/>
      <c r="AD88">
        <v>46002</v>
      </c>
      <c r="AE88" s="30" t="e">
        <f>X88-AD88-#REF!</f>
        <v>#REF!</v>
      </c>
      <c r="AF88">
        <f t="shared" si="50"/>
        <v>0</v>
      </c>
    </row>
    <row r="89" spans="1:32" ht="12.75">
      <c r="A89" s="41">
        <f t="shared" si="51"/>
        <v>9</v>
      </c>
      <c r="B89" s="41" t="s">
        <v>77</v>
      </c>
      <c r="C89" s="41" t="s">
        <v>84</v>
      </c>
      <c r="D89" s="41"/>
      <c r="E89" s="41"/>
      <c r="F89" s="41"/>
      <c r="G89" s="41"/>
      <c r="H89" s="41"/>
      <c r="I89" s="41"/>
      <c r="J89" s="41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57">
        <f t="shared" si="52"/>
        <v>0</v>
      </c>
      <c r="X89" s="48"/>
      <c r="Y89" s="49"/>
      <c r="Z89" s="50"/>
      <c r="AA89" s="30">
        <f t="shared" si="49"/>
        <v>0</v>
      </c>
      <c r="AB89" s="30">
        <f t="shared" si="53"/>
        <v>0</v>
      </c>
      <c r="AC89" s="30"/>
      <c r="AD89" s="30">
        <f>AD86</f>
        <v>42240</v>
      </c>
      <c r="AE89" s="30" t="e">
        <f>X89-AD89-#REF!</f>
        <v>#REF!</v>
      </c>
      <c r="AF89">
        <f t="shared" si="50"/>
        <v>0</v>
      </c>
    </row>
    <row r="90" spans="1:32" ht="12.75">
      <c r="A90" s="41">
        <f t="shared" si="51"/>
        <v>10</v>
      </c>
      <c r="B90" s="41" t="s">
        <v>77</v>
      </c>
      <c r="C90" s="41" t="s">
        <v>85</v>
      </c>
      <c r="D90" s="41"/>
      <c r="E90" s="41"/>
      <c r="F90" s="41"/>
      <c r="G90" s="41"/>
      <c r="H90" s="41"/>
      <c r="I90" s="41"/>
      <c r="J90" s="41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57">
        <f t="shared" si="52"/>
        <v>0</v>
      </c>
      <c r="X90" s="48"/>
      <c r="Y90" s="49"/>
      <c r="Z90" s="50"/>
      <c r="AA90" s="30">
        <f t="shared" si="49"/>
        <v>0</v>
      </c>
      <c r="AB90" s="30">
        <f t="shared" si="53"/>
        <v>0</v>
      </c>
      <c r="AC90" s="30"/>
      <c r="AD90" s="30">
        <f>AD89</f>
        <v>42240</v>
      </c>
      <c r="AE90" s="30" t="e">
        <f>X90-AD90-#REF!</f>
        <v>#REF!</v>
      </c>
      <c r="AF90">
        <f t="shared" si="50"/>
        <v>0</v>
      </c>
    </row>
    <row r="91" spans="1:32" ht="12.75">
      <c r="A91" s="41">
        <f t="shared" si="51"/>
        <v>11</v>
      </c>
      <c r="B91" s="41" t="s">
        <v>75</v>
      </c>
      <c r="C91" s="41" t="s">
        <v>116</v>
      </c>
      <c r="D91" s="41"/>
      <c r="E91" s="41"/>
      <c r="F91" s="41"/>
      <c r="G91" s="41"/>
      <c r="H91" s="41"/>
      <c r="I91" s="41"/>
      <c r="J91" s="41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57">
        <f t="shared" si="52"/>
        <v>0</v>
      </c>
      <c r="X91" s="48"/>
      <c r="Y91" s="49"/>
      <c r="Z91" s="50"/>
      <c r="AA91" s="30">
        <f t="shared" si="49"/>
        <v>0</v>
      </c>
      <c r="AB91" s="30">
        <f>AA91*0.3</f>
        <v>0</v>
      </c>
      <c r="AC91" s="30"/>
      <c r="AD91" s="61">
        <v>57376.8</v>
      </c>
      <c r="AE91" s="30" t="e">
        <f>X91-AD91-#REF!</f>
        <v>#REF!</v>
      </c>
      <c r="AF91">
        <f t="shared" si="50"/>
        <v>0</v>
      </c>
    </row>
    <row r="92" spans="1:32" ht="12.75">
      <c r="A92" s="41">
        <f t="shared" si="51"/>
        <v>12</v>
      </c>
      <c r="B92" s="41" t="s">
        <v>77</v>
      </c>
      <c r="C92" s="41" t="s">
        <v>117</v>
      </c>
      <c r="D92" s="41"/>
      <c r="E92" s="41"/>
      <c r="F92" s="41"/>
      <c r="G92" s="41"/>
      <c r="H92" s="41"/>
      <c r="I92" s="41"/>
      <c r="J92" s="41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57">
        <f t="shared" si="52"/>
        <v>0</v>
      </c>
      <c r="X92" s="48"/>
      <c r="Y92" s="49"/>
      <c r="Z92" s="50"/>
      <c r="AA92" s="30">
        <f t="shared" si="49"/>
        <v>0</v>
      </c>
      <c r="AB92" s="30">
        <f>AA92*0.1</f>
        <v>0</v>
      </c>
      <c r="AC92" s="30"/>
      <c r="AD92" s="30">
        <f>AD90</f>
        <v>42240</v>
      </c>
      <c r="AE92" s="30" t="e">
        <f>X92-AD92-#REF!</f>
        <v>#REF!</v>
      </c>
      <c r="AF92">
        <f t="shared" si="50"/>
        <v>0</v>
      </c>
    </row>
    <row r="93" spans="1:32" ht="12.75">
      <c r="A93" s="41">
        <f t="shared" si="51"/>
        <v>13</v>
      </c>
      <c r="B93" s="41" t="s">
        <v>77</v>
      </c>
      <c r="C93" s="41" t="s">
        <v>118</v>
      </c>
      <c r="D93" s="41"/>
      <c r="E93" s="41"/>
      <c r="F93" s="41"/>
      <c r="G93" s="41"/>
      <c r="H93" s="41"/>
      <c r="I93" s="41"/>
      <c r="J93" s="41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57">
        <f t="shared" si="52"/>
        <v>0</v>
      </c>
      <c r="X93" s="48"/>
      <c r="Y93" s="49"/>
      <c r="Z93" s="50"/>
      <c r="AA93" s="30">
        <f t="shared" si="49"/>
        <v>0</v>
      </c>
      <c r="AB93" s="30">
        <f>AA93*0.1</f>
        <v>0</v>
      </c>
      <c r="AC93" s="30"/>
      <c r="AD93" s="30">
        <f>AD92</f>
        <v>42240</v>
      </c>
      <c r="AE93" s="30" t="e">
        <f>X93-AD93-#REF!</f>
        <v>#REF!</v>
      </c>
      <c r="AF93">
        <f t="shared" si="50"/>
        <v>0</v>
      </c>
    </row>
    <row r="94" spans="1:32" ht="12.75">
      <c r="A94" s="41">
        <f t="shared" si="51"/>
        <v>14</v>
      </c>
      <c r="B94" s="41" t="s">
        <v>77</v>
      </c>
      <c r="C94" s="41" t="s">
        <v>119</v>
      </c>
      <c r="D94" s="41"/>
      <c r="E94" s="41"/>
      <c r="F94" s="41"/>
      <c r="G94" s="41"/>
      <c r="H94" s="41"/>
      <c r="I94" s="41"/>
      <c r="J94" s="41"/>
      <c r="K94" s="47">
        <f>1600-(K19+K44)</f>
        <v>24</v>
      </c>
      <c r="L94" s="47">
        <f>1600-(L19+L44)</f>
        <v>24</v>
      </c>
      <c r="M94" s="47">
        <f>1600-(M19+M44)</f>
        <v>24</v>
      </c>
      <c r="N94" s="47">
        <f>1600-(N19+N44)</f>
        <v>24</v>
      </c>
      <c r="O94" s="47"/>
      <c r="P94" s="47"/>
      <c r="Q94" s="47"/>
      <c r="R94" s="47"/>
      <c r="S94" s="47"/>
      <c r="T94" s="47"/>
      <c r="U94" s="47"/>
      <c r="V94" s="47"/>
      <c r="W94" s="57">
        <f t="shared" si="52"/>
        <v>96</v>
      </c>
      <c r="X94" s="48"/>
      <c r="Y94" s="49"/>
      <c r="Z94" s="50"/>
      <c r="AA94" s="30">
        <f t="shared" si="49"/>
        <v>6</v>
      </c>
      <c r="AB94" s="30">
        <f>AA94*0.1</f>
        <v>0.6000000000000001</v>
      </c>
      <c r="AC94" s="30"/>
      <c r="AD94" s="30">
        <f>AD93</f>
        <v>42240</v>
      </c>
      <c r="AE94" s="30" t="e">
        <f>X94-AD94-#REF!</f>
        <v>#REF!</v>
      </c>
      <c r="AF94">
        <f t="shared" si="50"/>
        <v>8</v>
      </c>
    </row>
    <row r="95" spans="1:31" ht="12.75">
      <c r="A95" s="41">
        <f t="shared" si="51"/>
        <v>15</v>
      </c>
      <c r="B95" s="41" t="s">
        <v>77</v>
      </c>
      <c r="C95" s="41" t="s">
        <v>136</v>
      </c>
      <c r="D95" s="41"/>
      <c r="E95" s="41"/>
      <c r="F95" s="41"/>
      <c r="G95" s="41"/>
      <c r="H95" s="41"/>
      <c r="I95" s="41"/>
      <c r="J95" s="41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57">
        <f t="shared" si="52"/>
        <v>0</v>
      </c>
      <c r="X95" s="48"/>
      <c r="Y95" s="49"/>
      <c r="Z95" s="50"/>
      <c r="AA95" s="30"/>
      <c r="AB95" s="30"/>
      <c r="AC95" s="30"/>
      <c r="AD95" s="30"/>
      <c r="AE95" s="30"/>
    </row>
    <row r="96" spans="1:31" ht="12.75">
      <c r="A96" s="41">
        <f t="shared" si="51"/>
        <v>16</v>
      </c>
      <c r="B96" s="41" t="s">
        <v>77</v>
      </c>
      <c r="C96" s="41" t="s">
        <v>137</v>
      </c>
      <c r="D96" s="41"/>
      <c r="E96" s="41"/>
      <c r="F96" s="41"/>
      <c r="G96" s="41"/>
      <c r="H96" s="41"/>
      <c r="I96" s="41"/>
      <c r="J96" s="41"/>
      <c r="K96" s="47">
        <f>1600-(K21+K46)</f>
        <v>24</v>
      </c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57">
        <f t="shared" si="52"/>
        <v>24</v>
      </c>
      <c r="X96" s="48"/>
      <c r="Y96" s="49"/>
      <c r="Z96" s="50"/>
      <c r="AA96" s="30"/>
      <c r="AB96" s="30"/>
      <c r="AC96" s="30"/>
      <c r="AD96" s="30"/>
      <c r="AE96" s="30"/>
    </row>
    <row r="97" spans="1:31" ht="12.75">
      <c r="A97" s="41">
        <v>17</v>
      </c>
      <c r="B97" s="41" t="s">
        <v>77</v>
      </c>
      <c r="C97" s="41" t="s">
        <v>142</v>
      </c>
      <c r="D97" s="41"/>
      <c r="E97" s="41"/>
      <c r="F97" s="41"/>
      <c r="G97" s="41"/>
      <c r="H97" s="41"/>
      <c r="I97" s="41"/>
      <c r="J97" s="41"/>
      <c r="K97" s="47">
        <f>1600-(K22+K47)</f>
        <v>24</v>
      </c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4"/>
      <c r="W97" s="57">
        <f t="shared" si="52"/>
        <v>24</v>
      </c>
      <c r="X97" s="48"/>
      <c r="Y97" s="49"/>
      <c r="Z97" s="50"/>
      <c r="AA97" s="30"/>
      <c r="AB97" s="30"/>
      <c r="AC97" s="30"/>
      <c r="AD97" s="30"/>
      <c r="AE97" s="30"/>
    </row>
    <row r="98" spans="1:31" ht="12.75">
      <c r="A98" s="41">
        <f>A96+1</f>
        <v>17</v>
      </c>
      <c r="B98" s="41" t="s">
        <v>120</v>
      </c>
      <c r="C98" s="41" t="s">
        <v>138</v>
      </c>
      <c r="D98" s="41"/>
      <c r="E98" s="41"/>
      <c r="F98" s="41"/>
      <c r="G98" s="41"/>
      <c r="H98" s="41"/>
      <c r="I98" s="41"/>
      <c r="J98" s="41"/>
      <c r="K98" s="47">
        <f>1600-(K23+K48)</f>
        <v>8</v>
      </c>
      <c r="L98" s="47">
        <f aca="true" t="shared" si="54" ref="L98:N99">1600-(L23+L48)</f>
        <v>8</v>
      </c>
      <c r="M98" s="47">
        <f t="shared" si="54"/>
        <v>8</v>
      </c>
      <c r="N98" s="47">
        <f t="shared" si="54"/>
        <v>8</v>
      </c>
      <c r="O98" s="47"/>
      <c r="P98" s="47"/>
      <c r="Q98" s="47"/>
      <c r="R98" s="47"/>
      <c r="S98" s="47"/>
      <c r="T98" s="47"/>
      <c r="U98" s="47"/>
      <c r="V98" s="47"/>
      <c r="W98" s="57">
        <f t="shared" si="52"/>
        <v>32</v>
      </c>
      <c r="X98" s="48"/>
      <c r="Y98" s="49"/>
      <c r="Z98" s="50"/>
      <c r="AA98" s="30"/>
      <c r="AB98" s="30"/>
      <c r="AC98" s="30"/>
      <c r="AD98" s="30"/>
      <c r="AE98" s="30"/>
    </row>
    <row r="99" spans="1:32" ht="12.75">
      <c r="A99" s="41">
        <f t="shared" si="51"/>
        <v>18</v>
      </c>
      <c r="B99" s="41" t="s">
        <v>120</v>
      </c>
      <c r="C99" s="41" t="s">
        <v>121</v>
      </c>
      <c r="D99" s="41"/>
      <c r="E99" s="41"/>
      <c r="F99" s="41"/>
      <c r="G99" s="41"/>
      <c r="H99" s="41"/>
      <c r="I99" s="41"/>
      <c r="J99" s="41"/>
      <c r="K99" s="47">
        <f>1600-(K24+K49)</f>
        <v>8</v>
      </c>
      <c r="L99" s="47">
        <f t="shared" si="54"/>
        <v>8</v>
      </c>
      <c r="M99" s="47">
        <f t="shared" si="54"/>
        <v>8</v>
      </c>
      <c r="N99" s="47">
        <f t="shared" si="54"/>
        <v>8</v>
      </c>
      <c r="O99" s="47"/>
      <c r="P99" s="47"/>
      <c r="Q99" s="47"/>
      <c r="R99" s="47"/>
      <c r="S99" s="47"/>
      <c r="T99" s="47"/>
      <c r="U99" s="47"/>
      <c r="V99" s="47"/>
      <c r="W99" s="57">
        <f t="shared" si="52"/>
        <v>32</v>
      </c>
      <c r="X99" s="48"/>
      <c r="Y99" s="49"/>
      <c r="Z99" s="50"/>
      <c r="AA99" s="30">
        <f>K99/4</f>
        <v>2</v>
      </c>
      <c r="AB99" s="30">
        <f>AA99*0.1</f>
        <v>0.2</v>
      </c>
      <c r="AC99" s="30"/>
      <c r="AD99">
        <v>48000</v>
      </c>
      <c r="AE99" s="30" t="e">
        <f>X99-AD99-#REF!</f>
        <v>#REF!</v>
      </c>
      <c r="AF99">
        <f>W99/12</f>
        <v>2.6666666666666665</v>
      </c>
    </row>
    <row r="100" spans="2:32" s="55" customFormat="1" ht="12.75">
      <c r="B100" s="52" t="s">
        <v>70</v>
      </c>
      <c r="C100" s="52"/>
      <c r="D100" s="52"/>
      <c r="E100" s="52"/>
      <c r="F100" s="53"/>
      <c r="G100" s="53"/>
      <c r="H100" s="53"/>
      <c r="I100" s="53"/>
      <c r="J100" s="53"/>
      <c r="K100" s="54">
        <f>ROUND(SUM(K81:K90)/10,0)*10</f>
        <v>0</v>
      </c>
      <c r="L100" s="54">
        <f>ROUND(SUM(L81:L90)/10,0)*10</f>
        <v>0</v>
      </c>
      <c r="M100" s="54">
        <f>ROUND(SUM(M81:M90)/10,0)*10</f>
        <v>0</v>
      </c>
      <c r="N100" s="54">
        <f>ROUND(SUM(N81:N90)/10,0)*10</f>
        <v>0</v>
      </c>
      <c r="O100" s="54">
        <f>ROUND(SUM(O81:O90)/10,0)*10</f>
        <v>0</v>
      </c>
      <c r="P100" s="54">
        <f aca="true" t="shared" si="55" ref="P100:U100">ROUND(SUM(P81:P90)/10,0)*10</f>
        <v>0</v>
      </c>
      <c r="Q100" s="54">
        <f t="shared" si="55"/>
        <v>0</v>
      </c>
      <c r="R100" s="54">
        <f t="shared" si="55"/>
        <v>0</v>
      </c>
      <c r="S100" s="54">
        <f t="shared" si="55"/>
        <v>0</v>
      </c>
      <c r="T100" s="54">
        <f t="shared" si="55"/>
        <v>0</v>
      </c>
      <c r="U100" s="54">
        <f t="shared" si="55"/>
        <v>0</v>
      </c>
      <c r="V100" s="54">
        <f>ROUNDDOWN(SUM(V81:V90)/10,0)*10</f>
        <v>0</v>
      </c>
      <c r="W100" s="54">
        <f aca="true" t="shared" si="56" ref="W100:AB100">SUM(W81:W99)</f>
        <v>208</v>
      </c>
      <c r="X100" s="54">
        <f t="shared" si="56"/>
        <v>0</v>
      </c>
      <c r="Y100" s="54">
        <f t="shared" si="56"/>
        <v>0</v>
      </c>
      <c r="Z100" s="54">
        <f t="shared" si="56"/>
        <v>0</v>
      </c>
      <c r="AA100" s="30">
        <f t="shared" si="56"/>
        <v>8</v>
      </c>
      <c r="AB100" s="30">
        <f t="shared" si="56"/>
        <v>0.8</v>
      </c>
      <c r="AC100" s="30"/>
      <c r="AD100" s="59">
        <f>SUM(AD81:AD99)</f>
        <v>709444.8</v>
      </c>
      <c r="AE100" s="59" t="e">
        <f>SUM(AE81:AE99)</f>
        <v>#REF!</v>
      </c>
      <c r="AF100" s="55">
        <v>41520</v>
      </c>
    </row>
    <row r="101" spans="1:31" s="55" customFormat="1" ht="12.75">
      <c r="A101" s="55">
        <v>1</v>
      </c>
      <c r="B101" s="63"/>
      <c r="C101" s="63"/>
      <c r="D101" s="63"/>
      <c r="E101" s="63"/>
      <c r="F101" s="64"/>
      <c r="G101" s="64"/>
      <c r="H101" s="64"/>
      <c r="I101" s="64"/>
      <c r="J101" s="64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30"/>
      <c r="AB101" s="30"/>
      <c r="AC101" s="30"/>
      <c r="AD101" s="59"/>
      <c r="AE101" s="59"/>
    </row>
    <row r="102" spans="2:22" ht="15.75">
      <c r="B102" s="62" t="s">
        <v>70</v>
      </c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6" s="39" customFormat="1" ht="12" customHeight="1">
      <c r="A103" s="106" t="s">
        <v>62</v>
      </c>
      <c r="B103" s="106" t="s">
        <v>63</v>
      </c>
      <c r="C103" s="110" t="s">
        <v>64</v>
      </c>
      <c r="D103" s="110" t="s">
        <v>65</v>
      </c>
      <c r="E103" s="106" t="s">
        <v>66</v>
      </c>
      <c r="F103" s="112" t="s">
        <v>67</v>
      </c>
      <c r="G103" s="107" t="s">
        <v>111</v>
      </c>
      <c r="H103" s="108"/>
      <c r="I103" s="109"/>
      <c r="J103" s="106" t="s">
        <v>68</v>
      </c>
      <c r="K103" s="102" t="s">
        <v>124</v>
      </c>
      <c r="L103" s="102" t="s">
        <v>125</v>
      </c>
      <c r="M103" s="102" t="s">
        <v>126</v>
      </c>
      <c r="N103" s="102" t="s">
        <v>127</v>
      </c>
      <c r="O103" s="102" t="s">
        <v>128</v>
      </c>
      <c r="P103" s="102" t="s">
        <v>129</v>
      </c>
      <c r="Q103" s="102" t="s">
        <v>130</v>
      </c>
      <c r="R103" s="102" t="s">
        <v>131</v>
      </c>
      <c r="S103" s="102" t="s">
        <v>132</v>
      </c>
      <c r="T103" s="102" t="s">
        <v>133</v>
      </c>
      <c r="U103" s="102" t="s">
        <v>134</v>
      </c>
      <c r="V103" s="102" t="s">
        <v>69</v>
      </c>
      <c r="W103" s="104" t="s">
        <v>70</v>
      </c>
      <c r="X103" s="105">
        <v>1110</v>
      </c>
      <c r="Y103" s="105">
        <v>1120</v>
      </c>
      <c r="Z103" s="101" t="s">
        <v>71</v>
      </c>
    </row>
    <row r="104" spans="1:26" s="39" customFormat="1" ht="29.25" customHeight="1">
      <c r="A104" s="106"/>
      <c r="B104" s="106"/>
      <c r="C104" s="111"/>
      <c r="D104" s="111"/>
      <c r="E104" s="106"/>
      <c r="F104" s="113"/>
      <c r="G104" s="40" t="s">
        <v>112</v>
      </c>
      <c r="H104" s="40" t="s">
        <v>113</v>
      </c>
      <c r="I104" s="40" t="s">
        <v>114</v>
      </c>
      <c r="J104" s="106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4"/>
      <c r="X104" s="105"/>
      <c r="Y104" s="105"/>
      <c r="Z104" s="101"/>
    </row>
    <row r="105" spans="1:26" ht="12.75">
      <c r="A105" s="41"/>
      <c r="B105" s="42">
        <v>120300</v>
      </c>
      <c r="C105" s="42"/>
      <c r="D105" s="41"/>
      <c r="E105" s="41"/>
      <c r="F105" s="41"/>
      <c r="G105" s="41"/>
      <c r="H105" s="41"/>
      <c r="I105" s="41"/>
      <c r="J105" s="41"/>
      <c r="K105" s="47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3"/>
      <c r="X105" s="45"/>
      <c r="Y105" s="45"/>
      <c r="Z105" s="46"/>
    </row>
    <row r="106" spans="1:32" ht="12.75">
      <c r="A106" s="41">
        <v>1</v>
      </c>
      <c r="B106" s="41" t="s">
        <v>37</v>
      </c>
      <c r="C106" s="41"/>
      <c r="D106" s="41"/>
      <c r="E106" s="41"/>
      <c r="F106" s="41"/>
      <c r="G106" s="41"/>
      <c r="H106" s="41"/>
      <c r="I106" s="41"/>
      <c r="J106" s="41"/>
      <c r="K106" s="47">
        <f>K6+K31+K56+K81</f>
        <v>0</v>
      </c>
      <c r="L106" s="47">
        <f aca="true" t="shared" si="57" ref="L106:V106">L6+L31+L56+L81</f>
        <v>5034</v>
      </c>
      <c r="M106" s="47">
        <f t="shared" si="57"/>
        <v>5034</v>
      </c>
      <c r="N106" s="47">
        <f t="shared" si="57"/>
        <v>5034</v>
      </c>
      <c r="O106" s="47">
        <f t="shared" si="57"/>
        <v>5298</v>
      </c>
      <c r="P106" s="47">
        <f t="shared" si="57"/>
        <v>5298</v>
      </c>
      <c r="Q106" s="47">
        <f t="shared" si="57"/>
        <v>5298</v>
      </c>
      <c r="R106" s="47">
        <f t="shared" si="57"/>
        <v>5298</v>
      </c>
      <c r="S106" s="47">
        <f t="shared" si="57"/>
        <v>5298</v>
      </c>
      <c r="T106" s="47">
        <f t="shared" si="57"/>
        <v>5298</v>
      </c>
      <c r="U106" s="47">
        <f t="shared" si="57"/>
        <v>5298</v>
      </c>
      <c r="V106" s="47">
        <f t="shared" si="57"/>
        <v>5544</v>
      </c>
      <c r="W106" s="57">
        <f>SUM(K106:V106)</f>
        <v>57732</v>
      </c>
      <c r="X106" s="48"/>
      <c r="Y106" s="49"/>
      <c r="Z106" s="50"/>
      <c r="AA106" s="30">
        <f aca="true" t="shared" si="58" ref="AA106:AA119">K106/4</f>
        <v>0</v>
      </c>
      <c r="AB106" s="30">
        <f>AA106*0.3</f>
        <v>0</v>
      </c>
      <c r="AC106" s="30"/>
      <c r="AD106" s="60">
        <f>'[2]01.01.17(з мінім)'!$M$26</f>
        <v>60403.200000000004</v>
      </c>
      <c r="AE106" s="30" t="e">
        <f>X106-AD106-#REF!</f>
        <v>#REF!</v>
      </c>
      <c r="AF106">
        <f aca="true" t="shared" si="59" ref="AF106:AF119">W106/12</f>
        <v>4811</v>
      </c>
    </row>
    <row r="107" spans="1:32" ht="12.75">
      <c r="A107" s="41">
        <f aca="true" t="shared" si="60" ref="A107:A124">A106+1</f>
        <v>2</v>
      </c>
      <c r="B107" s="51" t="s">
        <v>72</v>
      </c>
      <c r="C107" s="51" t="s">
        <v>73</v>
      </c>
      <c r="D107" s="41"/>
      <c r="E107" s="41"/>
      <c r="F107" s="41"/>
      <c r="G107" s="41"/>
      <c r="H107" s="41"/>
      <c r="I107" s="41"/>
      <c r="J107" s="41"/>
      <c r="K107" s="47">
        <f aca="true" t="shared" si="61" ref="K107:V124">K7+K32+K57+K82</f>
        <v>4531</v>
      </c>
      <c r="L107" s="47">
        <f t="shared" si="61"/>
        <v>4531</v>
      </c>
      <c r="M107" s="47">
        <f t="shared" si="61"/>
        <v>4531</v>
      </c>
      <c r="N107" s="47">
        <f t="shared" si="61"/>
        <v>4531</v>
      </c>
      <c r="O107" s="47">
        <f t="shared" si="61"/>
        <v>4769</v>
      </c>
      <c r="P107" s="47">
        <f t="shared" si="61"/>
        <v>4769</v>
      </c>
      <c r="Q107" s="47">
        <f t="shared" si="61"/>
        <v>4769</v>
      </c>
      <c r="R107" s="47">
        <f t="shared" si="61"/>
        <v>4769</v>
      </c>
      <c r="S107" s="47">
        <f t="shared" si="61"/>
        <v>4769</v>
      </c>
      <c r="T107" s="47">
        <f t="shared" si="61"/>
        <v>4769</v>
      </c>
      <c r="U107" s="47">
        <f t="shared" si="61"/>
        <v>4769</v>
      </c>
      <c r="V107" s="47">
        <f t="shared" si="61"/>
        <v>4990</v>
      </c>
      <c r="W107" s="57">
        <f aca="true" t="shared" si="62" ref="W107:W124">SUM(K107:V107)</f>
        <v>56497</v>
      </c>
      <c r="X107" s="48"/>
      <c r="Y107" s="49"/>
      <c r="Z107" s="50"/>
      <c r="AA107" s="30">
        <f t="shared" si="58"/>
        <v>1132.75</v>
      </c>
      <c r="AB107" s="30">
        <f>AA107*0.3</f>
        <v>339.825</v>
      </c>
      <c r="AC107" s="30"/>
      <c r="AD107" s="60">
        <f>'[2]01.01.17(з мінім)'!$M$27</f>
        <v>54366</v>
      </c>
      <c r="AE107" s="30" t="e">
        <f>X107-AD107-#REF!</f>
        <v>#REF!</v>
      </c>
      <c r="AF107">
        <f t="shared" si="59"/>
        <v>4708.083333333333</v>
      </c>
    </row>
    <row r="108" spans="1:32" ht="12.75">
      <c r="A108" s="41">
        <f t="shared" si="60"/>
        <v>3</v>
      </c>
      <c r="B108" s="41" t="s">
        <v>75</v>
      </c>
      <c r="C108" s="41" t="s">
        <v>76</v>
      </c>
      <c r="D108" s="41"/>
      <c r="E108" s="41"/>
      <c r="F108" s="41"/>
      <c r="G108" s="41"/>
      <c r="H108" s="41"/>
      <c r="I108" s="41"/>
      <c r="J108" s="41"/>
      <c r="K108" s="47">
        <f t="shared" si="61"/>
        <v>0</v>
      </c>
      <c r="L108" s="47">
        <f t="shared" si="61"/>
        <v>4782</v>
      </c>
      <c r="M108" s="47">
        <f t="shared" si="61"/>
        <v>4782</v>
      </c>
      <c r="N108" s="47">
        <f t="shared" si="61"/>
        <v>4782</v>
      </c>
      <c r="O108" s="47">
        <f t="shared" si="61"/>
        <v>5033</v>
      </c>
      <c r="P108" s="47">
        <f t="shared" si="61"/>
        <v>5033</v>
      </c>
      <c r="Q108" s="47">
        <f t="shared" si="61"/>
        <v>5033</v>
      </c>
      <c r="R108" s="47">
        <f t="shared" si="61"/>
        <v>5033</v>
      </c>
      <c r="S108" s="47">
        <f t="shared" si="61"/>
        <v>5033</v>
      </c>
      <c r="T108" s="47">
        <f t="shared" si="61"/>
        <v>5033</v>
      </c>
      <c r="U108" s="47">
        <f t="shared" si="61"/>
        <v>5033</v>
      </c>
      <c r="V108" s="47">
        <f t="shared" si="61"/>
        <v>5267</v>
      </c>
      <c r="W108" s="57">
        <f t="shared" si="62"/>
        <v>54844</v>
      </c>
      <c r="X108" s="48"/>
      <c r="Y108" s="49"/>
      <c r="Z108" s="50"/>
      <c r="AA108" s="30">
        <f t="shared" si="58"/>
        <v>0</v>
      </c>
      <c r="AB108" s="30">
        <f>AA108*0.3</f>
        <v>0</v>
      </c>
      <c r="AC108" s="30"/>
      <c r="AD108" s="61">
        <v>57376.8</v>
      </c>
      <c r="AE108" s="30" t="e">
        <f>X108-AD108-#REF!</f>
        <v>#REF!</v>
      </c>
      <c r="AF108">
        <f t="shared" si="59"/>
        <v>4570.333333333333</v>
      </c>
    </row>
    <row r="109" spans="1:32" ht="12.75">
      <c r="A109" s="41">
        <f t="shared" si="60"/>
        <v>4</v>
      </c>
      <c r="B109" s="41" t="s">
        <v>77</v>
      </c>
      <c r="C109" s="41" t="s">
        <v>78</v>
      </c>
      <c r="D109" s="41"/>
      <c r="E109" s="41"/>
      <c r="F109" s="41"/>
      <c r="G109" s="41"/>
      <c r="H109" s="41"/>
      <c r="I109" s="41"/>
      <c r="J109" s="41"/>
      <c r="K109" s="47">
        <f t="shared" si="61"/>
        <v>3468</v>
      </c>
      <c r="L109" s="47">
        <f t="shared" si="61"/>
        <v>3468</v>
      </c>
      <c r="M109" s="47">
        <f t="shared" si="61"/>
        <v>3468</v>
      </c>
      <c r="N109" s="47">
        <f t="shared" si="61"/>
        <v>3468</v>
      </c>
      <c r="O109" s="47">
        <f t="shared" si="61"/>
        <v>3649</v>
      </c>
      <c r="P109" s="47">
        <f t="shared" si="61"/>
        <v>3649</v>
      </c>
      <c r="Q109" s="47">
        <f t="shared" si="61"/>
        <v>3649</v>
      </c>
      <c r="R109" s="47">
        <f t="shared" si="61"/>
        <v>3649</v>
      </c>
      <c r="S109" s="47">
        <f t="shared" si="61"/>
        <v>3649</v>
      </c>
      <c r="T109" s="47">
        <f t="shared" si="61"/>
        <v>3649</v>
      </c>
      <c r="U109" s="47">
        <f t="shared" si="61"/>
        <v>3649</v>
      </c>
      <c r="V109" s="47">
        <f t="shared" si="61"/>
        <v>3819</v>
      </c>
      <c r="W109" s="57">
        <f t="shared" si="62"/>
        <v>43234</v>
      </c>
      <c r="X109" s="48"/>
      <c r="Y109" s="49"/>
      <c r="Z109" s="50"/>
      <c r="AA109" s="30">
        <f t="shared" si="58"/>
        <v>867</v>
      </c>
      <c r="AB109" s="30">
        <f aca="true" t="shared" si="63" ref="AB109:AB115">AA109*0.1</f>
        <v>86.7</v>
      </c>
      <c r="AC109" s="30"/>
      <c r="AD109" s="30">
        <f>'[2]01.01.17(з мінім)'!$M$30</f>
        <v>42240</v>
      </c>
      <c r="AE109" s="30" t="e">
        <f>X109-AD109-#REF!</f>
        <v>#REF!</v>
      </c>
      <c r="AF109">
        <f t="shared" si="59"/>
        <v>3602.8333333333335</v>
      </c>
    </row>
    <row r="110" spans="1:32" ht="12.75">
      <c r="A110" s="41">
        <f t="shared" si="60"/>
        <v>5</v>
      </c>
      <c r="B110" s="41" t="s">
        <v>77</v>
      </c>
      <c r="C110" s="41" t="s">
        <v>79</v>
      </c>
      <c r="D110" s="41"/>
      <c r="E110" s="41"/>
      <c r="F110" s="41"/>
      <c r="G110" s="41"/>
      <c r="H110" s="41"/>
      <c r="I110" s="41"/>
      <c r="J110" s="41"/>
      <c r="K110" s="47">
        <f t="shared" si="61"/>
        <v>3468</v>
      </c>
      <c r="L110" s="47">
        <f t="shared" si="61"/>
        <v>3468</v>
      </c>
      <c r="M110" s="47">
        <f t="shared" si="61"/>
        <v>3468</v>
      </c>
      <c r="N110" s="47">
        <f t="shared" si="61"/>
        <v>3468</v>
      </c>
      <c r="O110" s="47">
        <f t="shared" si="61"/>
        <v>3649</v>
      </c>
      <c r="P110" s="47">
        <f t="shared" si="61"/>
        <v>3649</v>
      </c>
      <c r="Q110" s="47">
        <f t="shared" si="61"/>
        <v>3649</v>
      </c>
      <c r="R110" s="47">
        <f t="shared" si="61"/>
        <v>3649</v>
      </c>
      <c r="S110" s="47">
        <f t="shared" si="61"/>
        <v>3649</v>
      </c>
      <c r="T110" s="47">
        <f t="shared" si="61"/>
        <v>3649</v>
      </c>
      <c r="U110" s="47">
        <f t="shared" si="61"/>
        <v>3649</v>
      </c>
      <c r="V110" s="47">
        <f t="shared" si="61"/>
        <v>3819</v>
      </c>
      <c r="W110" s="57">
        <f t="shared" si="62"/>
        <v>43234</v>
      </c>
      <c r="X110" s="48"/>
      <c r="Y110" s="49"/>
      <c r="Z110" s="50"/>
      <c r="AA110" s="30">
        <f t="shared" si="58"/>
        <v>867</v>
      </c>
      <c r="AB110" s="30">
        <f t="shared" si="63"/>
        <v>86.7</v>
      </c>
      <c r="AC110" s="30"/>
      <c r="AD110" s="30">
        <f>AD109</f>
        <v>42240</v>
      </c>
      <c r="AE110" s="30" t="e">
        <f>X110-AD110-#REF!</f>
        <v>#REF!</v>
      </c>
      <c r="AF110">
        <f t="shared" si="59"/>
        <v>3602.8333333333335</v>
      </c>
    </row>
    <row r="111" spans="1:32" ht="12.75">
      <c r="A111" s="41">
        <f t="shared" si="60"/>
        <v>6</v>
      </c>
      <c r="B111" s="41" t="s">
        <v>80</v>
      </c>
      <c r="C111" s="41" t="s">
        <v>81</v>
      </c>
      <c r="D111" s="41"/>
      <c r="E111" s="41"/>
      <c r="F111" s="41"/>
      <c r="G111" s="41"/>
      <c r="H111" s="41"/>
      <c r="I111" s="41"/>
      <c r="J111" s="41"/>
      <c r="K111" s="47">
        <f t="shared" si="61"/>
        <v>3204</v>
      </c>
      <c r="L111" s="47">
        <f t="shared" si="61"/>
        <v>3204</v>
      </c>
      <c r="M111" s="47">
        <f t="shared" si="61"/>
        <v>3204</v>
      </c>
      <c r="N111" s="47">
        <f t="shared" si="61"/>
        <v>3204</v>
      </c>
      <c r="O111" s="47">
        <f t="shared" si="61"/>
        <v>3242</v>
      </c>
      <c r="P111" s="47">
        <f t="shared" si="61"/>
        <v>3242</v>
      </c>
      <c r="Q111" s="47">
        <f t="shared" si="61"/>
        <v>3242</v>
      </c>
      <c r="R111" s="47">
        <f t="shared" si="61"/>
        <v>3242</v>
      </c>
      <c r="S111" s="47">
        <f t="shared" si="61"/>
        <v>3242</v>
      </c>
      <c r="T111" s="47">
        <f t="shared" si="61"/>
        <v>3242</v>
      </c>
      <c r="U111" s="47">
        <f t="shared" si="61"/>
        <v>3242</v>
      </c>
      <c r="V111" s="47">
        <f t="shared" si="61"/>
        <v>3256</v>
      </c>
      <c r="W111" s="57">
        <f t="shared" si="62"/>
        <v>38766</v>
      </c>
      <c r="X111" s="48"/>
      <c r="Y111" s="49"/>
      <c r="Z111" s="50"/>
      <c r="AA111" s="30">
        <f t="shared" si="58"/>
        <v>801</v>
      </c>
      <c r="AB111" s="30">
        <f t="shared" si="63"/>
        <v>80.10000000000001</v>
      </c>
      <c r="AC111" s="30"/>
      <c r="AD111" s="30">
        <f>AD110</f>
        <v>42240</v>
      </c>
      <c r="AE111" s="30" t="e">
        <f>X111-AD111-#REF!</f>
        <v>#REF!</v>
      </c>
      <c r="AF111">
        <f t="shared" si="59"/>
        <v>3230.5</v>
      </c>
    </row>
    <row r="112" spans="1:32" ht="12.75">
      <c r="A112" s="41">
        <f t="shared" si="60"/>
        <v>7</v>
      </c>
      <c r="B112" s="41" t="s">
        <v>80</v>
      </c>
      <c r="C112" s="41" t="s">
        <v>82</v>
      </c>
      <c r="D112" s="41"/>
      <c r="E112" s="41"/>
      <c r="F112" s="41"/>
      <c r="G112" s="41"/>
      <c r="H112" s="41"/>
      <c r="I112" s="41"/>
      <c r="J112" s="41"/>
      <c r="K112" s="47">
        <f t="shared" si="61"/>
        <v>3450</v>
      </c>
      <c r="L112" s="47">
        <f t="shared" si="61"/>
        <v>3450</v>
      </c>
      <c r="M112" s="47">
        <f t="shared" si="61"/>
        <v>3450</v>
      </c>
      <c r="N112" s="47">
        <f t="shared" si="61"/>
        <v>3450</v>
      </c>
      <c r="O112" s="47">
        <f t="shared" si="61"/>
        <v>3501</v>
      </c>
      <c r="P112" s="47">
        <f t="shared" si="61"/>
        <v>3501</v>
      </c>
      <c r="Q112" s="47">
        <f t="shared" si="61"/>
        <v>3501</v>
      </c>
      <c r="R112" s="47">
        <f t="shared" si="61"/>
        <v>3501</v>
      </c>
      <c r="S112" s="47">
        <f t="shared" si="61"/>
        <v>3501</v>
      </c>
      <c r="T112" s="47">
        <f t="shared" si="61"/>
        <v>3501</v>
      </c>
      <c r="U112" s="47">
        <f t="shared" si="61"/>
        <v>3501</v>
      </c>
      <c r="V112" s="47">
        <f t="shared" si="61"/>
        <v>3527</v>
      </c>
      <c r="W112" s="57">
        <f t="shared" si="62"/>
        <v>41834</v>
      </c>
      <c r="X112" s="48"/>
      <c r="Y112" s="49"/>
      <c r="Z112" s="50"/>
      <c r="AA112" s="30">
        <f t="shared" si="58"/>
        <v>862.5</v>
      </c>
      <c r="AB112" s="30">
        <f t="shared" si="63"/>
        <v>86.25</v>
      </c>
      <c r="AC112" s="30"/>
      <c r="AD112">
        <v>48000</v>
      </c>
      <c r="AE112" s="30" t="e">
        <f>X112-AD112-#REF!</f>
        <v>#REF!</v>
      </c>
      <c r="AF112">
        <f t="shared" si="59"/>
        <v>3486.1666666666665</v>
      </c>
    </row>
    <row r="113" spans="1:32" ht="12.75">
      <c r="A113" s="41">
        <f t="shared" si="60"/>
        <v>8</v>
      </c>
      <c r="B113" s="41" t="s">
        <v>83</v>
      </c>
      <c r="C113" s="41" t="s">
        <v>143</v>
      </c>
      <c r="D113" s="41"/>
      <c r="E113" s="41"/>
      <c r="F113" s="41"/>
      <c r="G113" s="41"/>
      <c r="H113" s="41"/>
      <c r="I113" s="41"/>
      <c r="J113" s="41"/>
      <c r="K113" s="47">
        <f t="shared" si="61"/>
        <v>4357</v>
      </c>
      <c r="L113" s="47">
        <f t="shared" si="61"/>
        <v>4357</v>
      </c>
      <c r="M113" s="47">
        <f t="shared" si="61"/>
        <v>4357</v>
      </c>
      <c r="N113" s="47">
        <f t="shared" si="61"/>
        <v>4357</v>
      </c>
      <c r="O113" s="47">
        <f t="shared" si="61"/>
        <v>4402</v>
      </c>
      <c r="P113" s="47">
        <f t="shared" si="61"/>
        <v>4402</v>
      </c>
      <c r="Q113" s="47">
        <f t="shared" si="61"/>
        <v>4402</v>
      </c>
      <c r="R113" s="47">
        <f t="shared" si="61"/>
        <v>4402</v>
      </c>
      <c r="S113" s="47">
        <f t="shared" si="61"/>
        <v>4402</v>
      </c>
      <c r="T113" s="47">
        <f t="shared" si="61"/>
        <v>4402</v>
      </c>
      <c r="U113" s="47">
        <f t="shared" si="61"/>
        <v>4402</v>
      </c>
      <c r="V113" s="47">
        <f t="shared" si="61"/>
        <v>4414</v>
      </c>
      <c r="W113" s="57">
        <f t="shared" si="62"/>
        <v>52656</v>
      </c>
      <c r="X113" s="48"/>
      <c r="Y113" s="49"/>
      <c r="Z113" s="50"/>
      <c r="AA113" s="30">
        <f t="shared" si="58"/>
        <v>1089.25</v>
      </c>
      <c r="AB113" s="30">
        <f t="shared" si="63"/>
        <v>108.92500000000001</v>
      </c>
      <c r="AC113" s="30"/>
      <c r="AD113">
        <v>46002</v>
      </c>
      <c r="AE113" s="30" t="e">
        <f>X113-AD113-#REF!</f>
        <v>#REF!</v>
      </c>
      <c r="AF113">
        <f t="shared" si="59"/>
        <v>4388</v>
      </c>
    </row>
    <row r="114" spans="1:32" ht="12.75">
      <c r="A114" s="41">
        <f t="shared" si="60"/>
        <v>9</v>
      </c>
      <c r="B114" s="41" t="s">
        <v>77</v>
      </c>
      <c r="C114" s="41" t="s">
        <v>84</v>
      </c>
      <c r="D114" s="41"/>
      <c r="E114" s="41"/>
      <c r="F114" s="41"/>
      <c r="G114" s="41"/>
      <c r="H114" s="41"/>
      <c r="I114" s="41"/>
      <c r="J114" s="41"/>
      <c r="K114" s="47">
        <f t="shared" si="61"/>
        <v>3468</v>
      </c>
      <c r="L114" s="47">
        <f t="shared" si="61"/>
        <v>3468</v>
      </c>
      <c r="M114" s="47">
        <f t="shared" si="61"/>
        <v>3468</v>
      </c>
      <c r="N114" s="47">
        <f t="shared" si="61"/>
        <v>3468</v>
      </c>
      <c r="O114" s="47">
        <f t="shared" si="61"/>
        <v>3649</v>
      </c>
      <c r="P114" s="47">
        <f t="shared" si="61"/>
        <v>3649</v>
      </c>
      <c r="Q114" s="47">
        <f t="shared" si="61"/>
        <v>3649</v>
      </c>
      <c r="R114" s="47">
        <f t="shared" si="61"/>
        <v>3649</v>
      </c>
      <c r="S114" s="47">
        <f t="shared" si="61"/>
        <v>3649</v>
      </c>
      <c r="T114" s="47">
        <f t="shared" si="61"/>
        <v>3649</v>
      </c>
      <c r="U114" s="47">
        <f t="shared" si="61"/>
        <v>3649</v>
      </c>
      <c r="V114" s="47">
        <f t="shared" si="61"/>
        <v>3819</v>
      </c>
      <c r="W114" s="57">
        <f t="shared" si="62"/>
        <v>43234</v>
      </c>
      <c r="X114" s="48"/>
      <c r="Y114" s="49"/>
      <c r="Z114" s="50"/>
      <c r="AA114" s="30">
        <f t="shared" si="58"/>
        <v>867</v>
      </c>
      <c r="AB114" s="30">
        <f t="shared" si="63"/>
        <v>86.7</v>
      </c>
      <c r="AC114" s="30"/>
      <c r="AD114" s="30">
        <f>AD111</f>
        <v>42240</v>
      </c>
      <c r="AE114" s="30" t="e">
        <f>X114-AD114-#REF!</f>
        <v>#REF!</v>
      </c>
      <c r="AF114">
        <f t="shared" si="59"/>
        <v>3602.8333333333335</v>
      </c>
    </row>
    <row r="115" spans="1:32" ht="12.75">
      <c r="A115" s="41">
        <f t="shared" si="60"/>
        <v>10</v>
      </c>
      <c r="B115" s="41" t="s">
        <v>77</v>
      </c>
      <c r="C115" s="41" t="s">
        <v>85</v>
      </c>
      <c r="D115" s="41"/>
      <c r="E115" s="41"/>
      <c r="F115" s="41"/>
      <c r="G115" s="41"/>
      <c r="H115" s="41"/>
      <c r="I115" s="41"/>
      <c r="J115" s="41"/>
      <c r="K115" s="47">
        <f t="shared" si="61"/>
        <v>3468</v>
      </c>
      <c r="L115" s="47">
        <f t="shared" si="61"/>
        <v>3468</v>
      </c>
      <c r="M115" s="47">
        <f t="shared" si="61"/>
        <v>3468</v>
      </c>
      <c r="N115" s="47">
        <f t="shared" si="61"/>
        <v>3468</v>
      </c>
      <c r="O115" s="47">
        <f t="shared" si="61"/>
        <v>3649</v>
      </c>
      <c r="P115" s="47">
        <f t="shared" si="61"/>
        <v>3649</v>
      </c>
      <c r="Q115" s="47">
        <f t="shared" si="61"/>
        <v>3649</v>
      </c>
      <c r="R115" s="47">
        <f t="shared" si="61"/>
        <v>3649</v>
      </c>
      <c r="S115" s="47">
        <f t="shared" si="61"/>
        <v>3649</v>
      </c>
      <c r="T115" s="47">
        <f t="shared" si="61"/>
        <v>3649</v>
      </c>
      <c r="U115" s="47">
        <f t="shared" si="61"/>
        <v>3649</v>
      </c>
      <c r="V115" s="47">
        <f t="shared" si="61"/>
        <v>3819</v>
      </c>
      <c r="W115" s="57">
        <f t="shared" si="62"/>
        <v>43234</v>
      </c>
      <c r="X115" s="48"/>
      <c r="Y115" s="49"/>
      <c r="Z115" s="50"/>
      <c r="AA115" s="30">
        <f t="shared" si="58"/>
        <v>867</v>
      </c>
      <c r="AB115" s="30">
        <f t="shared" si="63"/>
        <v>86.7</v>
      </c>
      <c r="AC115" s="30"/>
      <c r="AD115" s="30">
        <f>AD114</f>
        <v>42240</v>
      </c>
      <c r="AE115" s="30" t="e">
        <f>X115-AD115-#REF!</f>
        <v>#REF!</v>
      </c>
      <c r="AF115">
        <f t="shared" si="59"/>
        <v>3602.8333333333335</v>
      </c>
    </row>
    <row r="116" spans="1:32" ht="12.75">
      <c r="A116" s="41">
        <f t="shared" si="60"/>
        <v>11</v>
      </c>
      <c r="B116" s="41" t="s">
        <v>75</v>
      </c>
      <c r="C116" s="41" t="s">
        <v>116</v>
      </c>
      <c r="D116" s="41"/>
      <c r="E116" s="41"/>
      <c r="F116" s="41"/>
      <c r="G116" s="41"/>
      <c r="H116" s="41"/>
      <c r="I116" s="41"/>
      <c r="J116" s="41"/>
      <c r="K116" s="47">
        <f t="shared" si="61"/>
        <v>4782</v>
      </c>
      <c r="L116" s="47">
        <f t="shared" si="61"/>
        <v>4782</v>
      </c>
      <c r="M116" s="47">
        <f t="shared" si="61"/>
        <v>4782</v>
      </c>
      <c r="N116" s="47">
        <f t="shared" si="61"/>
        <v>4782</v>
      </c>
      <c r="O116" s="47">
        <f t="shared" si="61"/>
        <v>5033</v>
      </c>
      <c r="P116" s="47">
        <f t="shared" si="61"/>
        <v>5033</v>
      </c>
      <c r="Q116" s="47">
        <f t="shared" si="61"/>
        <v>5033</v>
      </c>
      <c r="R116" s="47">
        <f t="shared" si="61"/>
        <v>5033</v>
      </c>
      <c r="S116" s="47">
        <f t="shared" si="61"/>
        <v>5033</v>
      </c>
      <c r="T116" s="47">
        <f t="shared" si="61"/>
        <v>5033</v>
      </c>
      <c r="U116" s="47">
        <f t="shared" si="61"/>
        <v>5033</v>
      </c>
      <c r="V116" s="47">
        <f t="shared" si="61"/>
        <v>5267</v>
      </c>
      <c r="W116" s="57">
        <f t="shared" si="62"/>
        <v>59626</v>
      </c>
      <c r="X116" s="48"/>
      <c r="Y116" s="49"/>
      <c r="Z116" s="50"/>
      <c r="AA116" s="30">
        <f t="shared" si="58"/>
        <v>1195.5</v>
      </c>
      <c r="AB116" s="30">
        <f>AA116*0.3</f>
        <v>358.65</v>
      </c>
      <c r="AC116" s="30"/>
      <c r="AD116" s="61">
        <v>57376.8</v>
      </c>
      <c r="AE116" s="30" t="e">
        <f>X116-AD116-#REF!</f>
        <v>#REF!</v>
      </c>
      <c r="AF116">
        <f t="shared" si="59"/>
        <v>4968.833333333333</v>
      </c>
    </row>
    <row r="117" spans="1:32" ht="12.75">
      <c r="A117" s="41">
        <f t="shared" si="60"/>
        <v>12</v>
      </c>
      <c r="B117" s="41" t="s">
        <v>77</v>
      </c>
      <c r="C117" s="41" t="s">
        <v>117</v>
      </c>
      <c r="D117" s="41"/>
      <c r="E117" s="41"/>
      <c r="F117" s="41"/>
      <c r="G117" s="41"/>
      <c r="H117" s="41"/>
      <c r="I117" s="41"/>
      <c r="J117" s="41"/>
      <c r="K117" s="47">
        <f t="shared" si="61"/>
        <v>3468</v>
      </c>
      <c r="L117" s="47">
        <f t="shared" si="61"/>
        <v>3468</v>
      </c>
      <c r="M117" s="47">
        <f t="shared" si="61"/>
        <v>3468</v>
      </c>
      <c r="N117" s="47">
        <f t="shared" si="61"/>
        <v>3468</v>
      </c>
      <c r="O117" s="47">
        <f t="shared" si="61"/>
        <v>3649</v>
      </c>
      <c r="P117" s="47">
        <f t="shared" si="61"/>
        <v>3649</v>
      </c>
      <c r="Q117" s="47">
        <f t="shared" si="61"/>
        <v>3649</v>
      </c>
      <c r="R117" s="47">
        <f t="shared" si="61"/>
        <v>3649</v>
      </c>
      <c r="S117" s="47">
        <f t="shared" si="61"/>
        <v>3649</v>
      </c>
      <c r="T117" s="47">
        <f t="shared" si="61"/>
        <v>3649</v>
      </c>
      <c r="U117" s="47">
        <f t="shared" si="61"/>
        <v>3649</v>
      </c>
      <c r="V117" s="47">
        <f t="shared" si="61"/>
        <v>3819</v>
      </c>
      <c r="W117" s="57">
        <f t="shared" si="62"/>
        <v>43234</v>
      </c>
      <c r="X117" s="48"/>
      <c r="Y117" s="49"/>
      <c r="Z117" s="50"/>
      <c r="AA117" s="30">
        <f t="shared" si="58"/>
        <v>867</v>
      </c>
      <c r="AB117" s="30">
        <f>AA117*0.1</f>
        <v>86.7</v>
      </c>
      <c r="AC117" s="30"/>
      <c r="AD117" s="30">
        <f>AD115</f>
        <v>42240</v>
      </c>
      <c r="AE117" s="30" t="e">
        <f>X117-AD117-#REF!</f>
        <v>#REF!</v>
      </c>
      <c r="AF117">
        <f t="shared" si="59"/>
        <v>3602.8333333333335</v>
      </c>
    </row>
    <row r="118" spans="1:32" ht="12.75">
      <c r="A118" s="41">
        <f t="shared" si="60"/>
        <v>13</v>
      </c>
      <c r="B118" s="41" t="s">
        <v>77</v>
      </c>
      <c r="C118" s="41" t="s">
        <v>118</v>
      </c>
      <c r="D118" s="41"/>
      <c r="E118" s="41"/>
      <c r="F118" s="41"/>
      <c r="G118" s="41"/>
      <c r="H118" s="41"/>
      <c r="I118" s="41"/>
      <c r="J118" s="41"/>
      <c r="K118" s="47">
        <f t="shared" si="61"/>
        <v>4782</v>
      </c>
      <c r="L118" s="47">
        <f t="shared" si="61"/>
        <v>3468</v>
      </c>
      <c r="M118" s="47">
        <f t="shared" si="61"/>
        <v>3468</v>
      </c>
      <c r="N118" s="47">
        <f t="shared" si="61"/>
        <v>3468</v>
      </c>
      <c r="O118" s="47">
        <f t="shared" si="61"/>
        <v>3649</v>
      </c>
      <c r="P118" s="47">
        <f t="shared" si="61"/>
        <v>3649</v>
      </c>
      <c r="Q118" s="47">
        <f t="shared" si="61"/>
        <v>3649</v>
      </c>
      <c r="R118" s="47">
        <f t="shared" si="61"/>
        <v>3649</v>
      </c>
      <c r="S118" s="47">
        <f t="shared" si="61"/>
        <v>3649</v>
      </c>
      <c r="T118" s="47">
        <f t="shared" si="61"/>
        <v>3649</v>
      </c>
      <c r="U118" s="47">
        <f t="shared" si="61"/>
        <v>3649</v>
      </c>
      <c r="V118" s="47">
        <f t="shared" si="61"/>
        <v>3819</v>
      </c>
      <c r="W118" s="57">
        <f t="shared" si="62"/>
        <v>44548</v>
      </c>
      <c r="X118" s="48"/>
      <c r="Y118" s="49"/>
      <c r="Z118" s="50"/>
      <c r="AA118" s="30">
        <f t="shared" si="58"/>
        <v>1195.5</v>
      </c>
      <c r="AB118" s="30">
        <f>AA118*0.1</f>
        <v>119.55000000000001</v>
      </c>
      <c r="AC118" s="30"/>
      <c r="AD118" s="30">
        <f>AD117</f>
        <v>42240</v>
      </c>
      <c r="AE118" s="30" t="e">
        <f>X118-AD118-#REF!</f>
        <v>#REF!</v>
      </c>
      <c r="AF118">
        <f t="shared" si="59"/>
        <v>3712.3333333333335</v>
      </c>
    </row>
    <row r="119" spans="1:32" ht="12.75">
      <c r="A119" s="41">
        <f t="shared" si="60"/>
        <v>14</v>
      </c>
      <c r="B119" s="41" t="s">
        <v>77</v>
      </c>
      <c r="C119" s="41" t="s">
        <v>119</v>
      </c>
      <c r="D119" s="41"/>
      <c r="E119" s="41"/>
      <c r="F119" s="41"/>
      <c r="G119" s="41"/>
      <c r="H119" s="41"/>
      <c r="I119" s="41"/>
      <c r="J119" s="41"/>
      <c r="K119" s="47">
        <f t="shared" si="61"/>
        <v>1600</v>
      </c>
      <c r="L119" s="47">
        <f t="shared" si="61"/>
        <v>1600</v>
      </c>
      <c r="M119" s="47">
        <f t="shared" si="61"/>
        <v>1600</v>
      </c>
      <c r="N119" s="47">
        <f t="shared" si="61"/>
        <v>1600</v>
      </c>
      <c r="O119" s="47">
        <f t="shared" si="61"/>
        <v>1658.5</v>
      </c>
      <c r="P119" s="47">
        <f t="shared" si="61"/>
        <v>1658.5</v>
      </c>
      <c r="Q119" s="47">
        <f t="shared" si="61"/>
        <v>1658.5</v>
      </c>
      <c r="R119" s="47">
        <f t="shared" si="61"/>
        <v>1658.5</v>
      </c>
      <c r="S119" s="47">
        <f t="shared" si="61"/>
        <v>1658.5</v>
      </c>
      <c r="T119" s="47">
        <f t="shared" si="61"/>
        <v>1658.5</v>
      </c>
      <c r="U119" s="47">
        <f t="shared" si="61"/>
        <v>1658.5</v>
      </c>
      <c r="V119" s="47">
        <f t="shared" si="61"/>
        <v>1735.5</v>
      </c>
      <c r="W119" s="57">
        <f t="shared" si="62"/>
        <v>19745</v>
      </c>
      <c r="X119" s="48"/>
      <c r="Y119" s="49"/>
      <c r="Z119" s="50"/>
      <c r="AA119" s="30">
        <f t="shared" si="58"/>
        <v>400</v>
      </c>
      <c r="AB119" s="30">
        <f>AA119*0.1</f>
        <v>40</v>
      </c>
      <c r="AC119" s="30"/>
      <c r="AD119" s="30">
        <f>AD118</f>
        <v>42240</v>
      </c>
      <c r="AE119" s="30" t="e">
        <f>X119-AD119-#REF!</f>
        <v>#REF!</v>
      </c>
      <c r="AF119">
        <f t="shared" si="59"/>
        <v>1645.4166666666667</v>
      </c>
    </row>
    <row r="120" spans="1:31" ht="12.75">
      <c r="A120" s="41">
        <f t="shared" si="60"/>
        <v>15</v>
      </c>
      <c r="B120" s="41" t="s">
        <v>77</v>
      </c>
      <c r="C120" s="41" t="s">
        <v>136</v>
      </c>
      <c r="D120" s="41"/>
      <c r="E120" s="41"/>
      <c r="F120" s="41"/>
      <c r="G120" s="41"/>
      <c r="H120" s="41"/>
      <c r="I120" s="41"/>
      <c r="J120" s="41"/>
      <c r="K120" s="47">
        <f t="shared" si="61"/>
        <v>1813</v>
      </c>
      <c r="L120" s="47">
        <f t="shared" si="61"/>
        <v>1813</v>
      </c>
      <c r="M120" s="47">
        <f t="shared" si="61"/>
        <v>1813</v>
      </c>
      <c r="N120" s="47">
        <f t="shared" si="61"/>
        <v>1813</v>
      </c>
      <c r="O120" s="47">
        <f t="shared" si="61"/>
        <v>1907.5</v>
      </c>
      <c r="P120" s="47">
        <f t="shared" si="61"/>
        <v>1907.5</v>
      </c>
      <c r="Q120" s="47">
        <f t="shared" si="61"/>
        <v>1907.5</v>
      </c>
      <c r="R120" s="47">
        <f t="shared" si="61"/>
        <v>1907.5</v>
      </c>
      <c r="S120" s="47">
        <f t="shared" si="61"/>
        <v>1907.5</v>
      </c>
      <c r="T120" s="47">
        <f t="shared" si="61"/>
        <v>1907.5</v>
      </c>
      <c r="U120" s="47">
        <f t="shared" si="61"/>
        <v>1907.5</v>
      </c>
      <c r="V120" s="47">
        <f t="shared" si="61"/>
        <v>1996.5</v>
      </c>
      <c r="W120" s="57">
        <f t="shared" si="62"/>
        <v>22601</v>
      </c>
      <c r="X120" s="48"/>
      <c r="Y120" s="49"/>
      <c r="Z120" s="50"/>
      <c r="AA120" s="30"/>
      <c r="AB120" s="30"/>
      <c r="AC120" s="30"/>
      <c r="AD120" s="30"/>
      <c r="AE120" s="30"/>
    </row>
    <row r="121" spans="1:31" ht="12.75">
      <c r="A121" s="41">
        <f t="shared" si="60"/>
        <v>16</v>
      </c>
      <c r="B121" s="41" t="s">
        <v>77</v>
      </c>
      <c r="C121" s="41" t="s">
        <v>137</v>
      </c>
      <c r="D121" s="41"/>
      <c r="E121" s="41"/>
      <c r="F121" s="41"/>
      <c r="G121" s="41"/>
      <c r="H121" s="41"/>
      <c r="I121" s="41"/>
      <c r="J121" s="41"/>
      <c r="K121" s="47">
        <f t="shared" si="61"/>
        <v>1600</v>
      </c>
      <c r="L121" s="47">
        <f t="shared" si="61"/>
        <v>0</v>
      </c>
      <c r="M121" s="47">
        <f t="shared" si="61"/>
        <v>0</v>
      </c>
      <c r="N121" s="47">
        <f t="shared" si="61"/>
        <v>0</v>
      </c>
      <c r="O121" s="47">
        <f t="shared" si="61"/>
        <v>0</v>
      </c>
      <c r="P121" s="47">
        <f t="shared" si="61"/>
        <v>0</v>
      </c>
      <c r="Q121" s="47">
        <f t="shared" si="61"/>
        <v>0</v>
      </c>
      <c r="R121" s="47">
        <f t="shared" si="61"/>
        <v>0</v>
      </c>
      <c r="S121" s="47">
        <f t="shared" si="61"/>
        <v>0</v>
      </c>
      <c r="T121" s="47">
        <f t="shared" si="61"/>
        <v>0</v>
      </c>
      <c r="U121" s="47">
        <f t="shared" si="61"/>
        <v>0</v>
      </c>
      <c r="V121" s="47">
        <f t="shared" si="61"/>
        <v>0</v>
      </c>
      <c r="W121" s="57">
        <f t="shared" si="62"/>
        <v>1600</v>
      </c>
      <c r="X121" s="48"/>
      <c r="Y121" s="49"/>
      <c r="Z121" s="50"/>
      <c r="AA121" s="30"/>
      <c r="AB121" s="30"/>
      <c r="AC121" s="30"/>
      <c r="AD121" s="30"/>
      <c r="AE121" s="30"/>
    </row>
    <row r="122" spans="1:31" ht="12.75">
      <c r="A122" s="41">
        <v>17</v>
      </c>
      <c r="B122" s="41" t="s">
        <v>77</v>
      </c>
      <c r="C122" s="41" t="s">
        <v>142</v>
      </c>
      <c r="D122" s="41"/>
      <c r="E122" s="41"/>
      <c r="F122" s="41"/>
      <c r="G122" s="41"/>
      <c r="H122" s="41"/>
      <c r="I122" s="41"/>
      <c r="J122" s="41"/>
      <c r="K122" s="47">
        <f t="shared" si="61"/>
        <v>1600</v>
      </c>
      <c r="L122" s="47">
        <f t="shared" si="61"/>
        <v>0</v>
      </c>
      <c r="M122" s="47">
        <f t="shared" si="61"/>
        <v>0</v>
      </c>
      <c r="N122" s="47">
        <f t="shared" si="61"/>
        <v>0</v>
      </c>
      <c r="O122" s="47">
        <f t="shared" si="61"/>
        <v>0</v>
      </c>
      <c r="P122" s="47">
        <f t="shared" si="61"/>
        <v>0</v>
      </c>
      <c r="Q122" s="47">
        <f t="shared" si="61"/>
        <v>0</v>
      </c>
      <c r="R122" s="47">
        <f t="shared" si="61"/>
        <v>0</v>
      </c>
      <c r="S122" s="47">
        <f t="shared" si="61"/>
        <v>0</v>
      </c>
      <c r="T122" s="47">
        <f t="shared" si="61"/>
        <v>0</v>
      </c>
      <c r="U122" s="47">
        <f t="shared" si="61"/>
        <v>0</v>
      </c>
      <c r="V122" s="47">
        <f t="shared" si="61"/>
        <v>0</v>
      </c>
      <c r="W122" s="57">
        <f t="shared" si="62"/>
        <v>1600</v>
      </c>
      <c r="X122" s="48"/>
      <c r="Y122" s="49"/>
      <c r="Z122" s="50"/>
      <c r="AA122" s="30"/>
      <c r="AB122" s="30"/>
      <c r="AC122" s="30"/>
      <c r="AD122" s="30"/>
      <c r="AE122" s="30"/>
    </row>
    <row r="123" spans="1:31" ht="12.75">
      <c r="A123" s="41">
        <f>A121+1</f>
        <v>17</v>
      </c>
      <c r="B123" s="41" t="s">
        <v>120</v>
      </c>
      <c r="C123" s="41" t="s">
        <v>138</v>
      </c>
      <c r="D123" s="41"/>
      <c r="E123" s="41"/>
      <c r="F123" s="41"/>
      <c r="G123" s="41"/>
      <c r="H123" s="41"/>
      <c r="I123" s="41"/>
      <c r="J123" s="41"/>
      <c r="K123" s="47">
        <f t="shared" si="61"/>
        <v>1600</v>
      </c>
      <c r="L123" s="47">
        <f t="shared" si="61"/>
        <v>1600</v>
      </c>
      <c r="M123" s="47">
        <f t="shared" si="61"/>
        <v>1600</v>
      </c>
      <c r="N123" s="47">
        <f t="shared" si="61"/>
        <v>1600</v>
      </c>
      <c r="O123" s="47">
        <f t="shared" si="61"/>
        <v>1675.5</v>
      </c>
      <c r="P123" s="47">
        <f t="shared" si="61"/>
        <v>1675.5</v>
      </c>
      <c r="Q123" s="47">
        <f t="shared" si="61"/>
        <v>1675.5</v>
      </c>
      <c r="R123" s="47">
        <f t="shared" si="61"/>
        <v>1675.5</v>
      </c>
      <c r="S123" s="47">
        <f t="shared" si="61"/>
        <v>1675.5</v>
      </c>
      <c r="T123" s="47">
        <f t="shared" si="61"/>
        <v>1675.5</v>
      </c>
      <c r="U123" s="47">
        <f t="shared" si="61"/>
        <v>1675.5</v>
      </c>
      <c r="V123" s="47">
        <f t="shared" si="61"/>
        <v>1753</v>
      </c>
      <c r="W123" s="57">
        <f t="shared" si="62"/>
        <v>19881.5</v>
      </c>
      <c r="X123" s="48"/>
      <c r="Y123" s="49"/>
      <c r="Z123" s="50"/>
      <c r="AA123" s="30"/>
      <c r="AB123" s="30"/>
      <c r="AC123" s="30"/>
      <c r="AD123" s="30"/>
      <c r="AE123" s="30"/>
    </row>
    <row r="124" spans="1:32" ht="12.75">
      <c r="A124" s="41">
        <f t="shared" si="60"/>
        <v>18</v>
      </c>
      <c r="B124" s="41" t="s">
        <v>120</v>
      </c>
      <c r="C124" s="41" t="s">
        <v>121</v>
      </c>
      <c r="D124" s="41"/>
      <c r="E124" s="41"/>
      <c r="F124" s="41"/>
      <c r="G124" s="41"/>
      <c r="H124" s="41"/>
      <c r="I124" s="41"/>
      <c r="J124" s="41"/>
      <c r="K124" s="47">
        <f t="shared" si="61"/>
        <v>1600</v>
      </c>
      <c r="L124" s="47">
        <f t="shared" si="61"/>
        <v>1600</v>
      </c>
      <c r="M124" s="47">
        <f t="shared" si="61"/>
        <v>1600</v>
      </c>
      <c r="N124" s="47">
        <f t="shared" si="61"/>
        <v>1600</v>
      </c>
      <c r="O124" s="47">
        <f t="shared" si="61"/>
        <v>1675.5</v>
      </c>
      <c r="P124" s="47">
        <f t="shared" si="61"/>
        <v>1675.5</v>
      </c>
      <c r="Q124" s="47">
        <f t="shared" si="61"/>
        <v>1675.5</v>
      </c>
      <c r="R124" s="47">
        <f t="shared" si="61"/>
        <v>1675.5</v>
      </c>
      <c r="S124" s="47">
        <f t="shared" si="61"/>
        <v>1675.5</v>
      </c>
      <c r="T124" s="47">
        <f t="shared" si="61"/>
        <v>1675.5</v>
      </c>
      <c r="U124" s="47">
        <f t="shared" si="61"/>
        <v>1675.5</v>
      </c>
      <c r="V124" s="47">
        <f t="shared" si="61"/>
        <v>1753</v>
      </c>
      <c r="W124" s="57">
        <f t="shared" si="62"/>
        <v>19881.5</v>
      </c>
      <c r="X124" s="48"/>
      <c r="Y124" s="49"/>
      <c r="Z124" s="50"/>
      <c r="AA124" s="30">
        <f>K124/4</f>
        <v>400</v>
      </c>
      <c r="AB124" s="30">
        <f>AA124*0.1</f>
        <v>40</v>
      </c>
      <c r="AC124" s="30"/>
      <c r="AD124">
        <v>48000</v>
      </c>
      <c r="AE124" s="30" t="e">
        <f>X124-AD124-#REF!</f>
        <v>#REF!</v>
      </c>
      <c r="AF124">
        <f>W124/12</f>
        <v>1656.7916666666667</v>
      </c>
    </row>
    <row r="125" spans="2:32" s="55" customFormat="1" ht="12.75">
      <c r="B125" s="52" t="s">
        <v>70</v>
      </c>
      <c r="C125" s="52"/>
      <c r="D125" s="52"/>
      <c r="E125" s="52"/>
      <c r="F125" s="53"/>
      <c r="G125" s="53"/>
      <c r="H125" s="53"/>
      <c r="I125" s="53"/>
      <c r="J125" s="53"/>
      <c r="K125" s="54">
        <f>ROUND(SUM(K106:K115)/10,0)*10</f>
        <v>29410</v>
      </c>
      <c r="L125" s="54">
        <f>ROUND(SUM(L106:L115)/10,0)*10</f>
        <v>39230</v>
      </c>
      <c r="M125" s="54">
        <f>ROUND(SUM(M106:M115)/10,0)*10</f>
        <v>39230</v>
      </c>
      <c r="N125" s="54">
        <f>ROUND(SUM(N106:N115)/10,0)*10</f>
        <v>39230</v>
      </c>
      <c r="O125" s="54">
        <f>ROUND(SUM(O106:O115)/10,0)*10</f>
        <v>40840</v>
      </c>
      <c r="P125" s="54">
        <f aca="true" t="shared" si="64" ref="P125:U125">ROUND(SUM(P106:P115)/10,0)*10</f>
        <v>40840</v>
      </c>
      <c r="Q125" s="54">
        <f t="shared" si="64"/>
        <v>40840</v>
      </c>
      <c r="R125" s="54">
        <f t="shared" si="64"/>
        <v>40840</v>
      </c>
      <c r="S125" s="54">
        <f t="shared" si="64"/>
        <v>40840</v>
      </c>
      <c r="T125" s="54">
        <f t="shared" si="64"/>
        <v>40840</v>
      </c>
      <c r="U125" s="54">
        <f t="shared" si="64"/>
        <v>40840</v>
      </c>
      <c r="V125" s="54">
        <f>ROUNDDOWN(SUM(V106:V115)/10,0)*10</f>
        <v>42270</v>
      </c>
      <c r="W125" s="54">
        <f aca="true" t="shared" si="65" ref="W125:AB125">SUM(W106:W124)</f>
        <v>707982</v>
      </c>
      <c r="X125" s="54">
        <f t="shared" si="65"/>
        <v>0</v>
      </c>
      <c r="Y125" s="54">
        <f t="shared" si="65"/>
        <v>0</v>
      </c>
      <c r="Z125" s="54">
        <f t="shared" si="65"/>
        <v>0</v>
      </c>
      <c r="AA125" s="30">
        <f t="shared" si="65"/>
        <v>11411.5</v>
      </c>
      <c r="AB125" s="30">
        <f t="shared" si="65"/>
        <v>1606.8000000000002</v>
      </c>
      <c r="AC125" s="30"/>
      <c r="AD125" s="59">
        <f>SUM(AD106:AD124)</f>
        <v>709444.8</v>
      </c>
      <c r="AE125" s="59" t="e">
        <f>SUM(AE106:AE124)</f>
        <v>#REF!</v>
      </c>
      <c r="AF125" s="55">
        <v>41520</v>
      </c>
    </row>
    <row r="126" spans="11:22" ht="12.75"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2:22" ht="15.75">
      <c r="B127" s="62" t="s">
        <v>144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6" s="39" customFormat="1" ht="12" customHeight="1">
      <c r="A128" s="106" t="s">
        <v>62</v>
      </c>
      <c r="B128" s="106" t="s">
        <v>63</v>
      </c>
      <c r="C128" s="110" t="s">
        <v>64</v>
      </c>
      <c r="D128" s="110" t="s">
        <v>65</v>
      </c>
      <c r="E128" s="106" t="s">
        <v>66</v>
      </c>
      <c r="F128" s="112" t="s">
        <v>67</v>
      </c>
      <c r="G128" s="107" t="s">
        <v>111</v>
      </c>
      <c r="H128" s="108"/>
      <c r="I128" s="109"/>
      <c r="J128" s="106" t="s">
        <v>68</v>
      </c>
      <c r="K128" s="102" t="s">
        <v>124</v>
      </c>
      <c r="L128" s="102" t="s">
        <v>125</v>
      </c>
      <c r="M128" s="102" t="s">
        <v>126</v>
      </c>
      <c r="N128" s="102" t="s">
        <v>127</v>
      </c>
      <c r="O128" s="102" t="s">
        <v>128</v>
      </c>
      <c r="P128" s="102" t="s">
        <v>129</v>
      </c>
      <c r="Q128" s="102" t="s">
        <v>130</v>
      </c>
      <c r="R128" s="102" t="s">
        <v>131</v>
      </c>
      <c r="S128" s="102" t="s">
        <v>132</v>
      </c>
      <c r="T128" s="102" t="s">
        <v>133</v>
      </c>
      <c r="U128" s="102" t="s">
        <v>134</v>
      </c>
      <c r="V128" s="102" t="s">
        <v>69</v>
      </c>
      <c r="W128" s="104" t="s">
        <v>70</v>
      </c>
      <c r="X128" s="105">
        <v>1110</v>
      </c>
      <c r="Y128" s="105">
        <v>1120</v>
      </c>
      <c r="Z128" s="101" t="s">
        <v>71</v>
      </c>
    </row>
    <row r="129" spans="1:26" s="39" customFormat="1" ht="29.25" customHeight="1">
      <c r="A129" s="106"/>
      <c r="B129" s="106"/>
      <c r="C129" s="111"/>
      <c r="D129" s="111"/>
      <c r="E129" s="106"/>
      <c r="F129" s="113"/>
      <c r="G129" s="40" t="s">
        <v>112</v>
      </c>
      <c r="H129" s="40" t="s">
        <v>113</v>
      </c>
      <c r="I129" s="40" t="s">
        <v>114</v>
      </c>
      <c r="J129" s="106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4"/>
      <c r="X129" s="105"/>
      <c r="Y129" s="105"/>
      <c r="Z129" s="101"/>
    </row>
    <row r="130" spans="1:26" ht="12.75">
      <c r="A130" s="41"/>
      <c r="B130" s="42">
        <v>120300</v>
      </c>
      <c r="C130" s="42"/>
      <c r="D130" s="41"/>
      <c r="E130" s="41"/>
      <c r="F130" s="41"/>
      <c r="G130" s="41"/>
      <c r="H130" s="41"/>
      <c r="I130" s="41"/>
      <c r="J130" s="41"/>
      <c r="K130" s="47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3"/>
      <c r="X130" s="45"/>
      <c r="Y130" s="45"/>
      <c r="Z130" s="46"/>
    </row>
    <row r="131" spans="1:32" ht="12.75">
      <c r="A131" s="41">
        <v>1</v>
      </c>
      <c r="B131" s="41" t="s">
        <v>37</v>
      </c>
      <c r="C131" s="41"/>
      <c r="D131" s="41"/>
      <c r="E131" s="41"/>
      <c r="F131" s="41"/>
      <c r="G131" s="41"/>
      <c r="H131" s="41"/>
      <c r="I131" s="41"/>
      <c r="J131" s="41"/>
      <c r="K131" s="47"/>
      <c r="L131" s="47"/>
      <c r="M131" s="47"/>
      <c r="N131" s="47"/>
      <c r="O131" s="47"/>
      <c r="P131" s="47"/>
      <c r="Q131" s="47"/>
      <c r="R131" s="47"/>
      <c r="S131" s="47">
        <f>S6</f>
        <v>4075</v>
      </c>
      <c r="T131" s="47"/>
      <c r="U131" s="47"/>
      <c r="V131" s="47"/>
      <c r="W131" s="57">
        <f>SUM(K131:V131)</f>
        <v>4075</v>
      </c>
      <c r="X131" s="48">
        <f aca="true" t="shared" si="66" ref="X131:X144">SUM(W131:W131)</f>
        <v>4075</v>
      </c>
      <c r="Y131" s="49">
        <f aca="true" t="shared" si="67" ref="Y131:Y149">ROUND(X131*0.22,0)</f>
        <v>897</v>
      </c>
      <c r="Z131" s="50">
        <f aca="true" t="shared" si="68" ref="Z131:Z144">Y131+X131</f>
        <v>4972</v>
      </c>
      <c r="AA131" s="30">
        <f aca="true" t="shared" si="69" ref="AA131:AA144">K131/4</f>
        <v>0</v>
      </c>
      <c r="AB131" s="30">
        <f>AA131*0.3</f>
        <v>0</v>
      </c>
      <c r="AC131" s="30"/>
      <c r="AD131" s="60">
        <f>'[2]01.01.17(з мінім)'!$M$26</f>
        <v>60403.200000000004</v>
      </c>
      <c r="AE131" s="30" t="e">
        <f>X131-AD131-#REF!</f>
        <v>#REF!</v>
      </c>
      <c r="AF131">
        <f aca="true" t="shared" si="70" ref="AF131:AF144">W131/12</f>
        <v>339.5833333333333</v>
      </c>
    </row>
    <row r="132" spans="1:32" ht="12.75">
      <c r="A132" s="41">
        <f aca="true" t="shared" si="71" ref="A132:A146">A131+1</f>
        <v>2</v>
      </c>
      <c r="B132" s="51" t="s">
        <v>72</v>
      </c>
      <c r="C132" s="51" t="s">
        <v>73</v>
      </c>
      <c r="D132" s="41"/>
      <c r="E132" s="41"/>
      <c r="F132" s="41"/>
      <c r="G132" s="41"/>
      <c r="H132" s="41"/>
      <c r="I132" s="41"/>
      <c r="J132" s="41"/>
      <c r="K132" s="47"/>
      <c r="L132" s="47"/>
      <c r="M132" s="47"/>
      <c r="N132" s="47">
        <f>N7</f>
        <v>3485</v>
      </c>
      <c r="O132" s="47"/>
      <c r="P132" s="47"/>
      <c r="Q132" s="47"/>
      <c r="R132" s="47"/>
      <c r="S132" s="47"/>
      <c r="T132" s="47"/>
      <c r="U132" s="47"/>
      <c r="V132" s="47"/>
      <c r="W132" s="57">
        <f aca="true" t="shared" si="72" ref="W132:W149">SUM(K132:V132)</f>
        <v>3485</v>
      </c>
      <c r="X132" s="48">
        <f t="shared" si="66"/>
        <v>3485</v>
      </c>
      <c r="Y132" s="49">
        <f t="shared" si="67"/>
        <v>767</v>
      </c>
      <c r="Z132" s="50">
        <f t="shared" si="68"/>
        <v>4252</v>
      </c>
      <c r="AA132" s="30">
        <f t="shared" si="69"/>
        <v>0</v>
      </c>
      <c r="AB132" s="30">
        <f>AA132*0.3</f>
        <v>0</v>
      </c>
      <c r="AC132" s="30"/>
      <c r="AD132" s="60">
        <f>'[2]01.01.17(з мінім)'!$M$27</f>
        <v>54366</v>
      </c>
      <c r="AE132" s="30" t="e">
        <f>X132-AD132-#REF!</f>
        <v>#REF!</v>
      </c>
      <c r="AF132">
        <f t="shared" si="70"/>
        <v>290.4166666666667</v>
      </c>
    </row>
    <row r="133" spans="1:32" ht="12.75">
      <c r="A133" s="41">
        <f t="shared" si="71"/>
        <v>3</v>
      </c>
      <c r="B133" s="41" t="s">
        <v>75</v>
      </c>
      <c r="C133" s="41" t="s">
        <v>76</v>
      </c>
      <c r="D133" s="41"/>
      <c r="E133" s="41"/>
      <c r="F133" s="41"/>
      <c r="G133" s="41"/>
      <c r="H133" s="41"/>
      <c r="I133" s="41"/>
      <c r="J133" s="41"/>
      <c r="K133" s="47"/>
      <c r="L133" s="47"/>
      <c r="M133" s="47"/>
      <c r="N133" s="47"/>
      <c r="O133" s="47"/>
      <c r="P133" s="47"/>
      <c r="Q133" s="47"/>
      <c r="R133" s="47">
        <f>R8</f>
        <v>3871</v>
      </c>
      <c r="S133" s="47"/>
      <c r="T133" s="47"/>
      <c r="U133" s="47"/>
      <c r="V133" s="47"/>
      <c r="W133" s="57">
        <f t="shared" si="72"/>
        <v>3871</v>
      </c>
      <c r="X133" s="48">
        <f t="shared" si="66"/>
        <v>3871</v>
      </c>
      <c r="Y133" s="49">
        <f t="shared" si="67"/>
        <v>852</v>
      </c>
      <c r="Z133" s="50">
        <f t="shared" si="68"/>
        <v>4723</v>
      </c>
      <c r="AA133" s="30">
        <f t="shared" si="69"/>
        <v>0</v>
      </c>
      <c r="AB133" s="30">
        <f>AA133*0.3</f>
        <v>0</v>
      </c>
      <c r="AC133" s="30"/>
      <c r="AD133" s="61">
        <v>57376.8</v>
      </c>
      <c r="AE133" s="30" t="e">
        <f>X133-AD133-#REF!</f>
        <v>#REF!</v>
      </c>
      <c r="AF133">
        <f t="shared" si="70"/>
        <v>322.5833333333333</v>
      </c>
    </row>
    <row r="134" spans="1:32" ht="12.75">
      <c r="A134" s="41">
        <f t="shared" si="71"/>
        <v>4</v>
      </c>
      <c r="B134" s="41" t="s">
        <v>77</v>
      </c>
      <c r="C134" s="41" t="s">
        <v>78</v>
      </c>
      <c r="D134" s="41"/>
      <c r="E134" s="41"/>
      <c r="F134" s="41"/>
      <c r="G134" s="41"/>
      <c r="H134" s="41"/>
      <c r="I134" s="41"/>
      <c r="J134" s="41"/>
      <c r="K134" s="47"/>
      <c r="L134" s="47"/>
      <c r="M134" s="47"/>
      <c r="N134" s="47"/>
      <c r="O134" s="47"/>
      <c r="P134" s="47">
        <f>P9</f>
        <v>3317</v>
      </c>
      <c r="Q134" s="47"/>
      <c r="R134" s="47"/>
      <c r="S134" s="47"/>
      <c r="T134" s="47"/>
      <c r="U134" s="47"/>
      <c r="V134" s="47"/>
      <c r="W134" s="57">
        <f t="shared" si="72"/>
        <v>3317</v>
      </c>
      <c r="X134" s="48">
        <f t="shared" si="66"/>
        <v>3317</v>
      </c>
      <c r="Y134" s="49">
        <f t="shared" si="67"/>
        <v>730</v>
      </c>
      <c r="Z134" s="50">
        <f t="shared" si="68"/>
        <v>4047</v>
      </c>
      <c r="AA134" s="30">
        <f t="shared" si="69"/>
        <v>0</v>
      </c>
      <c r="AB134" s="30">
        <f aca="true" t="shared" si="73" ref="AB134:AB140">AA134*0.1</f>
        <v>0</v>
      </c>
      <c r="AC134" s="30"/>
      <c r="AD134" s="30">
        <f>'[2]01.01.17(з мінім)'!$M$30</f>
        <v>42240</v>
      </c>
      <c r="AE134" s="30" t="e">
        <f>X134-AD134-#REF!</f>
        <v>#REF!</v>
      </c>
      <c r="AF134">
        <f t="shared" si="70"/>
        <v>276.4166666666667</v>
      </c>
    </row>
    <row r="135" spans="1:32" ht="12.75">
      <c r="A135" s="41">
        <f t="shared" si="71"/>
        <v>5</v>
      </c>
      <c r="B135" s="41" t="s">
        <v>77</v>
      </c>
      <c r="C135" s="41" t="s">
        <v>79</v>
      </c>
      <c r="D135" s="41"/>
      <c r="E135" s="41"/>
      <c r="F135" s="41"/>
      <c r="G135" s="41"/>
      <c r="H135" s="41"/>
      <c r="I135" s="41"/>
      <c r="J135" s="41"/>
      <c r="K135" s="47"/>
      <c r="L135" s="47"/>
      <c r="M135" s="47"/>
      <c r="N135" s="47"/>
      <c r="O135" s="47"/>
      <c r="P135" s="47"/>
      <c r="Q135" s="47">
        <f>Q10</f>
        <v>3317</v>
      </c>
      <c r="R135" s="47"/>
      <c r="S135" s="47"/>
      <c r="T135" s="47"/>
      <c r="U135" s="47"/>
      <c r="V135" s="47"/>
      <c r="W135" s="57">
        <f t="shared" si="72"/>
        <v>3317</v>
      </c>
      <c r="X135" s="48">
        <f t="shared" si="66"/>
        <v>3317</v>
      </c>
      <c r="Y135" s="49">
        <f t="shared" si="67"/>
        <v>730</v>
      </c>
      <c r="Z135" s="50">
        <f t="shared" si="68"/>
        <v>4047</v>
      </c>
      <c r="AA135" s="30">
        <f t="shared" si="69"/>
        <v>0</v>
      </c>
      <c r="AB135" s="30">
        <f t="shared" si="73"/>
        <v>0</v>
      </c>
      <c r="AC135" s="30"/>
      <c r="AD135" s="30">
        <f>AD134</f>
        <v>42240</v>
      </c>
      <c r="AE135" s="30" t="e">
        <f>X135-AD135-#REF!</f>
        <v>#REF!</v>
      </c>
      <c r="AF135">
        <f t="shared" si="70"/>
        <v>276.4166666666667</v>
      </c>
    </row>
    <row r="136" spans="1:32" ht="12.75">
      <c r="A136" s="41">
        <f t="shared" si="71"/>
        <v>6</v>
      </c>
      <c r="B136" s="41" t="s">
        <v>80</v>
      </c>
      <c r="C136" s="41" t="s">
        <v>81</v>
      </c>
      <c r="D136" s="41"/>
      <c r="E136" s="41"/>
      <c r="F136" s="41"/>
      <c r="G136" s="41"/>
      <c r="H136" s="41"/>
      <c r="I136" s="41"/>
      <c r="J136" s="41"/>
      <c r="K136" s="47"/>
      <c r="L136" s="47"/>
      <c r="M136" s="47"/>
      <c r="N136" s="47"/>
      <c r="O136" s="47"/>
      <c r="P136" s="47"/>
      <c r="Q136" s="47"/>
      <c r="R136" s="47">
        <f>R11</f>
        <v>2593</v>
      </c>
      <c r="S136" s="47"/>
      <c r="T136" s="47"/>
      <c r="U136" s="47"/>
      <c r="V136" s="47"/>
      <c r="W136" s="57">
        <f t="shared" si="72"/>
        <v>2593</v>
      </c>
      <c r="X136" s="48">
        <f t="shared" si="66"/>
        <v>2593</v>
      </c>
      <c r="Y136" s="49">
        <f t="shared" si="67"/>
        <v>570</v>
      </c>
      <c r="Z136" s="50">
        <f t="shared" si="68"/>
        <v>3163</v>
      </c>
      <c r="AA136" s="30">
        <f t="shared" si="69"/>
        <v>0</v>
      </c>
      <c r="AB136" s="30">
        <f t="shared" si="73"/>
        <v>0</v>
      </c>
      <c r="AC136" s="30"/>
      <c r="AD136" s="30">
        <f>AD135</f>
        <v>42240</v>
      </c>
      <c r="AE136" s="30" t="e">
        <f>X136-AD136-#REF!</f>
        <v>#REF!</v>
      </c>
      <c r="AF136">
        <f t="shared" si="70"/>
        <v>216.08333333333334</v>
      </c>
    </row>
    <row r="137" spans="1:32" ht="12.75">
      <c r="A137" s="41">
        <f t="shared" si="71"/>
        <v>7</v>
      </c>
      <c r="B137" s="41" t="s">
        <v>80</v>
      </c>
      <c r="C137" s="41" t="s">
        <v>82</v>
      </c>
      <c r="D137" s="41"/>
      <c r="E137" s="41"/>
      <c r="F137" s="41"/>
      <c r="G137" s="41"/>
      <c r="H137" s="41"/>
      <c r="I137" s="41"/>
      <c r="J137" s="41"/>
      <c r="K137" s="47"/>
      <c r="L137" s="47">
        <f>L12</f>
        <v>2464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57">
        <f t="shared" si="72"/>
        <v>2464</v>
      </c>
      <c r="X137" s="48">
        <f t="shared" si="66"/>
        <v>2464</v>
      </c>
      <c r="Y137" s="49">
        <f t="shared" si="67"/>
        <v>542</v>
      </c>
      <c r="Z137" s="50">
        <f t="shared" si="68"/>
        <v>3006</v>
      </c>
      <c r="AA137" s="30">
        <f t="shared" si="69"/>
        <v>0</v>
      </c>
      <c r="AB137" s="30">
        <f t="shared" si="73"/>
        <v>0</v>
      </c>
      <c r="AC137" s="30"/>
      <c r="AD137">
        <v>48000</v>
      </c>
      <c r="AE137" s="30" t="e">
        <f>X137-AD137-#REF!</f>
        <v>#REF!</v>
      </c>
      <c r="AF137">
        <f t="shared" si="70"/>
        <v>205.33333333333334</v>
      </c>
    </row>
    <row r="138" spans="1:32" ht="12.75">
      <c r="A138" s="41">
        <f t="shared" si="71"/>
        <v>8</v>
      </c>
      <c r="B138" s="41" t="s">
        <v>83</v>
      </c>
      <c r="C138" s="41" t="s">
        <v>143</v>
      </c>
      <c r="D138" s="41"/>
      <c r="E138" s="41"/>
      <c r="F138" s="41"/>
      <c r="G138" s="41"/>
      <c r="H138" s="41"/>
      <c r="I138" s="41"/>
      <c r="J138" s="41"/>
      <c r="K138" s="47"/>
      <c r="L138" s="47"/>
      <c r="M138" s="47"/>
      <c r="N138" s="47"/>
      <c r="O138" s="47">
        <f>O13</f>
        <v>3668</v>
      </c>
      <c r="P138" s="47"/>
      <c r="Q138" s="47"/>
      <c r="R138" s="47"/>
      <c r="S138" s="47"/>
      <c r="T138" s="47"/>
      <c r="U138" s="47"/>
      <c r="V138" s="47"/>
      <c r="W138" s="57">
        <f t="shared" si="72"/>
        <v>3668</v>
      </c>
      <c r="X138" s="48">
        <f t="shared" si="66"/>
        <v>3668</v>
      </c>
      <c r="Y138" s="49">
        <f t="shared" si="67"/>
        <v>807</v>
      </c>
      <c r="Z138" s="50">
        <f t="shared" si="68"/>
        <v>4475</v>
      </c>
      <c r="AA138" s="30">
        <f t="shared" si="69"/>
        <v>0</v>
      </c>
      <c r="AB138" s="30">
        <f t="shared" si="73"/>
        <v>0</v>
      </c>
      <c r="AC138" s="30"/>
      <c r="AD138">
        <v>46002</v>
      </c>
      <c r="AE138" s="30" t="e">
        <f>X138-AD138-#REF!</f>
        <v>#REF!</v>
      </c>
      <c r="AF138">
        <f t="shared" si="70"/>
        <v>305.6666666666667</v>
      </c>
    </row>
    <row r="139" spans="1:32" ht="12.75">
      <c r="A139" s="41">
        <f t="shared" si="71"/>
        <v>9</v>
      </c>
      <c r="B139" s="41" t="s">
        <v>77</v>
      </c>
      <c r="C139" s="41" t="s">
        <v>84</v>
      </c>
      <c r="D139" s="41"/>
      <c r="E139" s="41"/>
      <c r="F139" s="41"/>
      <c r="G139" s="41"/>
      <c r="H139" s="41"/>
      <c r="I139" s="41"/>
      <c r="J139" s="41"/>
      <c r="K139" s="47">
        <f>K14</f>
        <v>3152</v>
      </c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57">
        <f t="shared" si="72"/>
        <v>3152</v>
      </c>
      <c r="X139" s="48">
        <f t="shared" si="66"/>
        <v>3152</v>
      </c>
      <c r="Y139" s="49">
        <f t="shared" si="67"/>
        <v>693</v>
      </c>
      <c r="Z139" s="50">
        <f t="shared" si="68"/>
        <v>3845</v>
      </c>
      <c r="AA139" s="30">
        <f t="shared" si="69"/>
        <v>788</v>
      </c>
      <c r="AB139" s="30">
        <f t="shared" si="73"/>
        <v>78.80000000000001</v>
      </c>
      <c r="AC139" s="30"/>
      <c r="AD139" s="30">
        <f>AD136</f>
        <v>42240</v>
      </c>
      <c r="AE139" s="30" t="e">
        <f>X139-AD139-#REF!</f>
        <v>#REF!</v>
      </c>
      <c r="AF139">
        <f t="shared" si="70"/>
        <v>262.6666666666667</v>
      </c>
    </row>
    <row r="140" spans="1:32" ht="12.75">
      <c r="A140" s="41">
        <f t="shared" si="71"/>
        <v>10</v>
      </c>
      <c r="B140" s="41" t="s">
        <v>77</v>
      </c>
      <c r="C140" s="41" t="s">
        <v>85</v>
      </c>
      <c r="D140" s="41"/>
      <c r="E140" s="41"/>
      <c r="F140" s="41"/>
      <c r="G140" s="41"/>
      <c r="H140" s="41"/>
      <c r="I140" s="41"/>
      <c r="J140" s="41"/>
      <c r="K140" s="47"/>
      <c r="L140" s="47"/>
      <c r="M140" s="47">
        <f>M15</f>
        <v>3152</v>
      </c>
      <c r="N140" s="47"/>
      <c r="O140" s="47"/>
      <c r="P140" s="47"/>
      <c r="Q140" s="47"/>
      <c r="R140" s="47"/>
      <c r="S140" s="47"/>
      <c r="T140" s="47"/>
      <c r="U140" s="47"/>
      <c r="V140" s="47"/>
      <c r="W140" s="57">
        <f t="shared" si="72"/>
        <v>3152</v>
      </c>
      <c r="X140" s="48">
        <f t="shared" si="66"/>
        <v>3152</v>
      </c>
      <c r="Y140" s="49">
        <f t="shared" si="67"/>
        <v>693</v>
      </c>
      <c r="Z140" s="50">
        <f t="shared" si="68"/>
        <v>3845</v>
      </c>
      <c r="AA140" s="30">
        <f t="shared" si="69"/>
        <v>0</v>
      </c>
      <c r="AB140" s="30">
        <f t="shared" si="73"/>
        <v>0</v>
      </c>
      <c r="AC140" s="30"/>
      <c r="AD140" s="30">
        <f>AD139</f>
        <v>42240</v>
      </c>
      <c r="AE140" s="30" t="e">
        <f>X140-AD140-#REF!</f>
        <v>#REF!</v>
      </c>
      <c r="AF140">
        <f t="shared" si="70"/>
        <v>262.6666666666667</v>
      </c>
    </row>
    <row r="141" spans="1:32" ht="12.75">
      <c r="A141" s="41">
        <f t="shared" si="71"/>
        <v>11</v>
      </c>
      <c r="B141" s="41" t="s">
        <v>75</v>
      </c>
      <c r="C141" s="41" t="s">
        <v>116</v>
      </c>
      <c r="D141" s="41"/>
      <c r="E141" s="41"/>
      <c r="F141" s="41"/>
      <c r="G141" s="41"/>
      <c r="H141" s="41"/>
      <c r="I141" s="41"/>
      <c r="J141" s="41"/>
      <c r="K141" s="47"/>
      <c r="L141" s="47"/>
      <c r="M141" s="47"/>
      <c r="N141" s="47"/>
      <c r="O141" s="47"/>
      <c r="P141" s="47"/>
      <c r="Q141" s="47">
        <f>Q16</f>
        <v>3871</v>
      </c>
      <c r="R141" s="47"/>
      <c r="S141" s="47"/>
      <c r="T141" s="47"/>
      <c r="U141" s="47"/>
      <c r="V141" s="47"/>
      <c r="W141" s="57">
        <f t="shared" si="72"/>
        <v>3871</v>
      </c>
      <c r="X141" s="48">
        <f t="shared" si="66"/>
        <v>3871</v>
      </c>
      <c r="Y141" s="49">
        <f t="shared" si="67"/>
        <v>852</v>
      </c>
      <c r="Z141" s="50">
        <f t="shared" si="68"/>
        <v>4723</v>
      </c>
      <c r="AA141" s="30">
        <f t="shared" si="69"/>
        <v>0</v>
      </c>
      <c r="AB141" s="30">
        <f>AA141*0.3</f>
        <v>0</v>
      </c>
      <c r="AC141" s="30"/>
      <c r="AD141" s="61">
        <v>57376.8</v>
      </c>
      <c r="AE141" s="30" t="e">
        <f>X141-AD141-#REF!</f>
        <v>#REF!</v>
      </c>
      <c r="AF141">
        <f t="shared" si="70"/>
        <v>322.5833333333333</v>
      </c>
    </row>
    <row r="142" spans="1:32" ht="12.75">
      <c r="A142" s="41">
        <f t="shared" si="71"/>
        <v>12</v>
      </c>
      <c r="B142" s="41" t="s">
        <v>77</v>
      </c>
      <c r="C142" s="41" t="s">
        <v>117</v>
      </c>
      <c r="D142" s="41"/>
      <c r="E142" s="41"/>
      <c r="F142" s="41"/>
      <c r="G142" s="41"/>
      <c r="H142" s="41"/>
      <c r="I142" s="41"/>
      <c r="J142" s="41"/>
      <c r="K142" s="47"/>
      <c r="L142" s="47"/>
      <c r="M142" s="47"/>
      <c r="N142" s="47"/>
      <c r="O142" s="47"/>
      <c r="P142" s="47"/>
      <c r="Q142" s="47"/>
      <c r="R142" s="47"/>
      <c r="S142" s="47">
        <f>S17</f>
        <v>3317</v>
      </c>
      <c r="T142" s="47"/>
      <c r="U142" s="47"/>
      <c r="V142" s="47"/>
      <c r="W142" s="57">
        <f t="shared" si="72"/>
        <v>3317</v>
      </c>
      <c r="X142" s="48">
        <f t="shared" si="66"/>
        <v>3317</v>
      </c>
      <c r="Y142" s="49">
        <f t="shared" si="67"/>
        <v>730</v>
      </c>
      <c r="Z142" s="50">
        <f t="shared" si="68"/>
        <v>4047</v>
      </c>
      <c r="AA142" s="30">
        <f t="shared" si="69"/>
        <v>0</v>
      </c>
      <c r="AB142" s="30">
        <f>AA142*0.1</f>
        <v>0</v>
      </c>
      <c r="AC142" s="30"/>
      <c r="AD142" s="30">
        <f>AD140</f>
        <v>42240</v>
      </c>
      <c r="AE142" s="30" t="e">
        <f>X142-AD142-#REF!</f>
        <v>#REF!</v>
      </c>
      <c r="AF142">
        <f t="shared" si="70"/>
        <v>276.4166666666667</v>
      </c>
    </row>
    <row r="143" spans="1:32" ht="12.75">
      <c r="A143" s="41">
        <f t="shared" si="71"/>
        <v>13</v>
      </c>
      <c r="B143" s="41" t="s">
        <v>77</v>
      </c>
      <c r="C143" s="41" t="s">
        <v>118</v>
      </c>
      <c r="D143" s="41"/>
      <c r="E143" s="41"/>
      <c r="F143" s="41"/>
      <c r="G143" s="41"/>
      <c r="H143" s="41"/>
      <c r="I143" s="41"/>
      <c r="J143" s="41"/>
      <c r="K143" s="47"/>
      <c r="L143" s="47"/>
      <c r="M143" s="47">
        <f>M18</f>
        <v>3152</v>
      </c>
      <c r="N143" s="47"/>
      <c r="O143" s="47"/>
      <c r="P143" s="47"/>
      <c r="Q143" s="47"/>
      <c r="R143" s="47"/>
      <c r="S143" s="47"/>
      <c r="T143" s="47"/>
      <c r="U143" s="47"/>
      <c r="V143" s="47"/>
      <c r="W143" s="57">
        <f t="shared" si="72"/>
        <v>3152</v>
      </c>
      <c r="X143" s="48">
        <f t="shared" si="66"/>
        <v>3152</v>
      </c>
      <c r="Y143" s="49">
        <f t="shared" si="67"/>
        <v>693</v>
      </c>
      <c r="Z143" s="50">
        <f t="shared" si="68"/>
        <v>3845</v>
      </c>
      <c r="AA143" s="30">
        <f t="shared" si="69"/>
        <v>0</v>
      </c>
      <c r="AB143" s="30">
        <f>AA143*0.1</f>
        <v>0</v>
      </c>
      <c r="AC143" s="30"/>
      <c r="AD143" s="30">
        <f>AD142</f>
        <v>42240</v>
      </c>
      <c r="AE143" s="30" t="e">
        <f>X143-AD143-#REF!</f>
        <v>#REF!</v>
      </c>
      <c r="AF143">
        <f t="shared" si="70"/>
        <v>262.6666666666667</v>
      </c>
    </row>
    <row r="144" spans="1:32" ht="12.75">
      <c r="A144" s="41">
        <f t="shared" si="71"/>
        <v>14</v>
      </c>
      <c r="B144" s="41" t="s">
        <v>77</v>
      </c>
      <c r="C144" s="41" t="s">
        <v>119</v>
      </c>
      <c r="D144" s="41"/>
      <c r="E144" s="41"/>
      <c r="F144" s="41"/>
      <c r="G144" s="41"/>
      <c r="H144" s="41"/>
      <c r="I144" s="41"/>
      <c r="J144" s="41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57">
        <f t="shared" si="72"/>
        <v>0</v>
      </c>
      <c r="X144" s="48">
        <f t="shared" si="66"/>
        <v>0</v>
      </c>
      <c r="Y144" s="49">
        <f t="shared" si="67"/>
        <v>0</v>
      </c>
      <c r="Z144" s="50">
        <f t="shared" si="68"/>
        <v>0</v>
      </c>
      <c r="AA144" s="30">
        <f t="shared" si="69"/>
        <v>0</v>
      </c>
      <c r="AB144" s="30">
        <f>AA144*0.1</f>
        <v>0</v>
      </c>
      <c r="AC144" s="30"/>
      <c r="AD144" s="30">
        <f>AD143</f>
        <v>42240</v>
      </c>
      <c r="AE144" s="30" t="e">
        <f>X144-AD144-#REF!</f>
        <v>#REF!</v>
      </c>
      <c r="AF144">
        <f t="shared" si="70"/>
        <v>0</v>
      </c>
    </row>
    <row r="145" spans="1:31" ht="12.75">
      <c r="A145" s="41">
        <f t="shared" si="71"/>
        <v>15</v>
      </c>
      <c r="B145" s="41" t="s">
        <v>77</v>
      </c>
      <c r="C145" s="41" t="s">
        <v>136</v>
      </c>
      <c r="D145" s="41"/>
      <c r="E145" s="41"/>
      <c r="F145" s="41"/>
      <c r="G145" s="41"/>
      <c r="H145" s="41"/>
      <c r="I145" s="41"/>
      <c r="J145" s="41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57">
        <f t="shared" si="72"/>
        <v>0</v>
      </c>
      <c r="X145" s="48"/>
      <c r="Y145" s="49"/>
      <c r="Z145" s="50"/>
      <c r="AA145" s="30"/>
      <c r="AB145" s="30"/>
      <c r="AC145" s="30"/>
      <c r="AD145" s="30"/>
      <c r="AE145" s="30"/>
    </row>
    <row r="146" spans="1:31" ht="12.75">
      <c r="A146" s="41">
        <f t="shared" si="71"/>
        <v>16</v>
      </c>
      <c r="B146" s="41" t="s">
        <v>77</v>
      </c>
      <c r="C146" s="41" t="s">
        <v>137</v>
      </c>
      <c r="D146" s="41"/>
      <c r="E146" s="41"/>
      <c r="F146" s="41"/>
      <c r="G146" s="41"/>
      <c r="H146" s="41"/>
      <c r="I146" s="41"/>
      <c r="J146" s="41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57">
        <f t="shared" si="72"/>
        <v>0</v>
      </c>
      <c r="X146" s="48"/>
      <c r="Y146" s="49"/>
      <c r="Z146" s="50"/>
      <c r="AA146" s="30"/>
      <c r="AB146" s="30"/>
      <c r="AC146" s="30"/>
      <c r="AD146" s="30"/>
      <c r="AE146" s="30"/>
    </row>
    <row r="147" spans="1:31" ht="12.75">
      <c r="A147" s="41">
        <v>17</v>
      </c>
      <c r="B147" s="41" t="s">
        <v>77</v>
      </c>
      <c r="C147" s="41" t="s">
        <v>142</v>
      </c>
      <c r="D147" s="41"/>
      <c r="E147" s="41"/>
      <c r="F147" s="41"/>
      <c r="G147" s="41"/>
      <c r="H147" s="41"/>
      <c r="I147" s="41"/>
      <c r="J147" s="41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57">
        <f t="shared" si="72"/>
        <v>0</v>
      </c>
      <c r="X147" s="48"/>
      <c r="Y147" s="49"/>
      <c r="Z147" s="50"/>
      <c r="AA147" s="30"/>
      <c r="AB147" s="30"/>
      <c r="AC147" s="30"/>
      <c r="AD147" s="30"/>
      <c r="AE147" s="30"/>
    </row>
    <row r="148" spans="1:31" ht="12.75">
      <c r="A148" s="41">
        <f>A146+1</f>
        <v>17</v>
      </c>
      <c r="B148" s="41" t="s">
        <v>120</v>
      </c>
      <c r="C148" s="41" t="s">
        <v>138</v>
      </c>
      <c r="D148" s="41"/>
      <c r="E148" s="41"/>
      <c r="F148" s="41"/>
      <c r="G148" s="41"/>
      <c r="H148" s="41"/>
      <c r="I148" s="41"/>
      <c r="J148" s="41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57">
        <f t="shared" si="72"/>
        <v>0</v>
      </c>
      <c r="X148" s="48"/>
      <c r="Y148" s="49"/>
      <c r="Z148" s="50"/>
      <c r="AA148" s="30"/>
      <c r="AB148" s="30"/>
      <c r="AC148" s="30"/>
      <c r="AD148" s="30"/>
      <c r="AE148" s="30"/>
    </row>
    <row r="149" spans="1:32" ht="12.75">
      <c r="A149" s="41">
        <f>A148+1</f>
        <v>18</v>
      </c>
      <c r="B149" s="41" t="s">
        <v>120</v>
      </c>
      <c r="C149" s="41" t="s">
        <v>121</v>
      </c>
      <c r="D149" s="41"/>
      <c r="E149" s="41"/>
      <c r="F149" s="41"/>
      <c r="G149" s="41"/>
      <c r="H149" s="41"/>
      <c r="I149" s="41"/>
      <c r="J149" s="41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57">
        <f t="shared" si="72"/>
        <v>0</v>
      </c>
      <c r="X149" s="48">
        <f>SUM(W149:W149)</f>
        <v>0</v>
      </c>
      <c r="Y149" s="49">
        <f t="shared" si="67"/>
        <v>0</v>
      </c>
      <c r="Z149" s="50">
        <f>Y149+X149</f>
        <v>0</v>
      </c>
      <c r="AA149" s="30">
        <f>K149/4</f>
        <v>0</v>
      </c>
      <c r="AB149" s="30">
        <f>AA149*0.1</f>
        <v>0</v>
      </c>
      <c r="AC149" s="30"/>
      <c r="AD149">
        <v>48000</v>
      </c>
      <c r="AE149" s="30" t="e">
        <f>X149-AD149-#REF!</f>
        <v>#REF!</v>
      </c>
      <c r="AF149">
        <f>W149/12</f>
        <v>0</v>
      </c>
    </row>
    <row r="150" spans="2:32" s="55" customFormat="1" ht="12.75">
      <c r="B150" s="52" t="s">
        <v>70</v>
      </c>
      <c r="C150" s="52"/>
      <c r="D150" s="52"/>
      <c r="E150" s="52"/>
      <c r="F150" s="53"/>
      <c r="G150" s="53"/>
      <c r="H150" s="53"/>
      <c r="I150" s="53"/>
      <c r="J150" s="53"/>
      <c r="K150" s="54">
        <f>ROUND(SUM(K131:K140)/10,0)*10</f>
        <v>3150</v>
      </c>
      <c r="L150" s="54">
        <f>ROUND(SUM(L131:L140)/10,0)*10</f>
        <v>2460</v>
      </c>
      <c r="M150" s="54">
        <f>ROUND(SUM(M131:M140)/10,0)*10</f>
        <v>3150</v>
      </c>
      <c r="N150" s="54">
        <f>ROUND(SUM(N131:N140)/10,0)*10</f>
        <v>3490</v>
      </c>
      <c r="O150" s="54">
        <f>ROUND(SUM(O131:O140)/10,0)*10</f>
        <v>3670</v>
      </c>
      <c r="P150" s="54">
        <f aca="true" t="shared" si="74" ref="P150:U150">ROUND(SUM(P131:P140)/10,0)*10</f>
        <v>3320</v>
      </c>
      <c r="Q150" s="54">
        <f t="shared" si="74"/>
        <v>3320</v>
      </c>
      <c r="R150" s="54">
        <f t="shared" si="74"/>
        <v>6460</v>
      </c>
      <c r="S150" s="54">
        <f t="shared" si="74"/>
        <v>4080</v>
      </c>
      <c r="T150" s="54">
        <f t="shared" si="74"/>
        <v>0</v>
      </c>
      <c r="U150" s="54">
        <f t="shared" si="74"/>
        <v>0</v>
      </c>
      <c r="V150" s="54">
        <f>ROUNDDOWN(SUM(V131:V140)/10,0)*10</f>
        <v>0</v>
      </c>
      <c r="W150" s="54">
        <f aca="true" t="shared" si="75" ref="W150:AB150">SUM(W131:W149)</f>
        <v>43434</v>
      </c>
      <c r="X150" s="54">
        <f t="shared" si="75"/>
        <v>43434</v>
      </c>
      <c r="Y150" s="54">
        <f t="shared" si="75"/>
        <v>9556</v>
      </c>
      <c r="Z150" s="54">
        <f t="shared" si="75"/>
        <v>52990</v>
      </c>
      <c r="AA150" s="30">
        <f t="shared" si="75"/>
        <v>788</v>
      </c>
      <c r="AB150" s="30">
        <f t="shared" si="75"/>
        <v>78.80000000000001</v>
      </c>
      <c r="AC150" s="30"/>
      <c r="AD150" s="59">
        <f>SUM(AD131:AD149)</f>
        <v>709444.8</v>
      </c>
      <c r="AE150" s="59" t="e">
        <f>SUM(AE131:AE149)</f>
        <v>#REF!</v>
      </c>
      <c r="AF150" s="55">
        <v>41520</v>
      </c>
    </row>
    <row r="151" spans="11:23" ht="12.75"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W151" s="58">
        <f>W150+W125</f>
        <v>751416</v>
      </c>
    </row>
    <row r="152" spans="2:22" ht="15.75">
      <c r="B152" s="62" t="s">
        <v>144</v>
      </c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6" s="39" customFormat="1" ht="12" customHeight="1">
      <c r="A153" s="106" t="s">
        <v>62</v>
      </c>
      <c r="B153" s="106" t="s">
        <v>63</v>
      </c>
      <c r="C153" s="110" t="s">
        <v>64</v>
      </c>
      <c r="D153" s="110" t="s">
        <v>65</v>
      </c>
      <c r="E153" s="106" t="s">
        <v>66</v>
      </c>
      <c r="F153" s="112" t="s">
        <v>67</v>
      </c>
      <c r="G153" s="107" t="s">
        <v>111</v>
      </c>
      <c r="H153" s="108"/>
      <c r="I153" s="109"/>
      <c r="J153" s="106" t="s">
        <v>68</v>
      </c>
      <c r="K153" s="102" t="s">
        <v>124</v>
      </c>
      <c r="L153" s="102" t="s">
        <v>125</v>
      </c>
      <c r="M153" s="102" t="s">
        <v>126</v>
      </c>
      <c r="N153" s="102" t="s">
        <v>127</v>
      </c>
      <c r="O153" s="102" t="s">
        <v>128</v>
      </c>
      <c r="P153" s="102" t="s">
        <v>129</v>
      </c>
      <c r="Q153" s="102" t="s">
        <v>130</v>
      </c>
      <c r="R153" s="102" t="s">
        <v>131</v>
      </c>
      <c r="S153" s="102" t="s">
        <v>132</v>
      </c>
      <c r="T153" s="102" t="s">
        <v>133</v>
      </c>
      <c r="U153" s="102" t="s">
        <v>134</v>
      </c>
      <c r="V153" s="102" t="s">
        <v>69</v>
      </c>
      <c r="W153" s="104" t="s">
        <v>70</v>
      </c>
      <c r="X153" s="105">
        <v>1110</v>
      </c>
      <c r="Y153" s="105">
        <v>1120</v>
      </c>
      <c r="Z153" s="101" t="s">
        <v>71</v>
      </c>
    </row>
    <row r="154" spans="1:26" s="39" customFormat="1" ht="29.25" customHeight="1">
      <c r="A154" s="106"/>
      <c r="B154" s="106"/>
      <c r="C154" s="111"/>
      <c r="D154" s="111"/>
      <c r="E154" s="106"/>
      <c r="F154" s="113"/>
      <c r="G154" s="40" t="s">
        <v>112</v>
      </c>
      <c r="H154" s="40" t="s">
        <v>113</v>
      </c>
      <c r="I154" s="40" t="s">
        <v>114</v>
      </c>
      <c r="J154" s="106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4"/>
      <c r="X154" s="105"/>
      <c r="Y154" s="105"/>
      <c r="Z154" s="101"/>
    </row>
    <row r="155" spans="1:26" ht="12.75">
      <c r="A155" s="41"/>
      <c r="B155" s="42">
        <v>120300</v>
      </c>
      <c r="C155" s="42"/>
      <c r="D155" s="41"/>
      <c r="E155" s="41"/>
      <c r="F155" s="41"/>
      <c r="G155" s="41"/>
      <c r="H155" s="41"/>
      <c r="I155" s="41"/>
      <c r="J155" s="41"/>
      <c r="K155" s="47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3"/>
      <c r="X155" s="45"/>
      <c r="Y155" s="45"/>
      <c r="Z155" s="46"/>
    </row>
    <row r="156" spans="1:32" ht="12.75">
      <c r="A156" s="41">
        <v>1</v>
      </c>
      <c r="B156" s="41" t="s">
        <v>37</v>
      </c>
      <c r="C156" s="41"/>
      <c r="D156" s="41"/>
      <c r="E156" s="41"/>
      <c r="F156" s="41"/>
      <c r="G156" s="41"/>
      <c r="H156" s="41"/>
      <c r="I156" s="41"/>
      <c r="J156" s="41"/>
      <c r="K156" s="47">
        <f>K131+K106</f>
        <v>0</v>
      </c>
      <c r="L156" s="47">
        <f aca="true" t="shared" si="76" ref="L156:V156">L131+L106</f>
        <v>5034</v>
      </c>
      <c r="M156" s="47">
        <f t="shared" si="76"/>
        <v>5034</v>
      </c>
      <c r="N156" s="47">
        <f t="shared" si="76"/>
        <v>5034</v>
      </c>
      <c r="O156" s="47">
        <f t="shared" si="76"/>
        <v>5298</v>
      </c>
      <c r="P156" s="47">
        <f t="shared" si="76"/>
        <v>5298</v>
      </c>
      <c r="Q156" s="47">
        <f t="shared" si="76"/>
        <v>5298</v>
      </c>
      <c r="R156" s="47">
        <f t="shared" si="76"/>
        <v>5298</v>
      </c>
      <c r="S156" s="47">
        <f t="shared" si="76"/>
        <v>9373</v>
      </c>
      <c r="T156" s="47">
        <f t="shared" si="76"/>
        <v>5298</v>
      </c>
      <c r="U156" s="47">
        <f t="shared" si="76"/>
        <v>5298</v>
      </c>
      <c r="V156" s="47">
        <f t="shared" si="76"/>
        <v>5544</v>
      </c>
      <c r="W156" s="57">
        <f>SUM(K156:V156)</f>
        <v>61807</v>
      </c>
      <c r="X156" s="48">
        <f>SUM(W156:W156)</f>
        <v>61807</v>
      </c>
      <c r="Y156" s="49">
        <f aca="true" t="shared" si="77" ref="Y156:Y174">ROUND(X156*0.22,0)</f>
        <v>13598</v>
      </c>
      <c r="Z156" s="50">
        <f aca="true" t="shared" si="78" ref="Z156:Z173">Y156+X156</f>
        <v>75405</v>
      </c>
      <c r="AA156" s="30">
        <f aca="true" t="shared" si="79" ref="AA156:AA169">K156/4</f>
        <v>0</v>
      </c>
      <c r="AB156" s="30">
        <f>AA156*0.3</f>
        <v>0</v>
      </c>
      <c r="AC156" s="30"/>
      <c r="AD156" s="60">
        <f>'[2]01.01.17(з мінім)'!$M$26</f>
        <v>60403.200000000004</v>
      </c>
      <c r="AE156" s="30" t="e">
        <f>X156-AD156-#REF!</f>
        <v>#REF!</v>
      </c>
      <c r="AF156" s="30">
        <f>W131+W106-W156</f>
        <v>0</v>
      </c>
    </row>
    <row r="157" spans="1:32" ht="12.75">
      <c r="A157" s="41">
        <f aca="true" t="shared" si="80" ref="A157:A171">A156+1</f>
        <v>2</v>
      </c>
      <c r="B157" s="51" t="s">
        <v>72</v>
      </c>
      <c r="C157" s="51" t="s">
        <v>73</v>
      </c>
      <c r="D157" s="41"/>
      <c r="E157" s="41"/>
      <c r="F157" s="41"/>
      <c r="G157" s="41"/>
      <c r="H157" s="41"/>
      <c r="I157" s="41"/>
      <c r="J157" s="41"/>
      <c r="K157" s="47">
        <f aca="true" t="shared" si="81" ref="K157:V174">K132+K107</f>
        <v>4531</v>
      </c>
      <c r="L157" s="47">
        <f t="shared" si="81"/>
        <v>4531</v>
      </c>
      <c r="M157" s="47">
        <f t="shared" si="81"/>
        <v>4531</v>
      </c>
      <c r="N157" s="47">
        <f t="shared" si="81"/>
        <v>8016</v>
      </c>
      <c r="O157" s="47">
        <f t="shared" si="81"/>
        <v>4769</v>
      </c>
      <c r="P157" s="47">
        <f t="shared" si="81"/>
        <v>4769</v>
      </c>
      <c r="Q157" s="47">
        <f t="shared" si="81"/>
        <v>4769</v>
      </c>
      <c r="R157" s="47">
        <f t="shared" si="81"/>
        <v>4769</v>
      </c>
      <c r="S157" s="47">
        <f t="shared" si="81"/>
        <v>4769</v>
      </c>
      <c r="T157" s="47">
        <f t="shared" si="81"/>
        <v>4769</v>
      </c>
      <c r="U157" s="47">
        <f t="shared" si="81"/>
        <v>4769</v>
      </c>
      <c r="V157" s="47">
        <f t="shared" si="81"/>
        <v>4990</v>
      </c>
      <c r="W157" s="57">
        <f aca="true" t="shared" si="82" ref="W157:W173">SUM(K157:V157)</f>
        <v>59982</v>
      </c>
      <c r="X157" s="48">
        <f aca="true" t="shared" si="83" ref="X157:X174">SUM(W157:W157)</f>
        <v>59982</v>
      </c>
      <c r="Y157" s="49">
        <f t="shared" si="77"/>
        <v>13196</v>
      </c>
      <c r="Z157" s="50">
        <f t="shared" si="78"/>
        <v>73178</v>
      </c>
      <c r="AA157" s="30">
        <f t="shared" si="79"/>
        <v>1132.75</v>
      </c>
      <c r="AB157" s="30">
        <f>AA157*0.3</f>
        <v>339.825</v>
      </c>
      <c r="AC157" s="30"/>
      <c r="AD157" s="60">
        <f>'[2]01.01.17(з мінім)'!$M$27</f>
        <v>54366</v>
      </c>
      <c r="AE157" s="30" t="e">
        <f>X157-AD157-#REF!</f>
        <v>#REF!</v>
      </c>
      <c r="AF157" s="30">
        <f aca="true" t="shared" si="84" ref="AF157:AF174">W132+W107-W157</f>
        <v>0</v>
      </c>
    </row>
    <row r="158" spans="1:32" ht="12.75">
      <c r="A158" s="41">
        <f t="shared" si="80"/>
        <v>3</v>
      </c>
      <c r="B158" s="41" t="s">
        <v>75</v>
      </c>
      <c r="C158" s="41" t="s">
        <v>76</v>
      </c>
      <c r="D158" s="41"/>
      <c r="E158" s="41"/>
      <c r="F158" s="41"/>
      <c r="G158" s="41"/>
      <c r="H158" s="41"/>
      <c r="I158" s="41"/>
      <c r="J158" s="41"/>
      <c r="K158" s="47">
        <f t="shared" si="81"/>
        <v>0</v>
      </c>
      <c r="L158" s="47">
        <f t="shared" si="81"/>
        <v>4782</v>
      </c>
      <c r="M158" s="47">
        <f t="shared" si="81"/>
        <v>4782</v>
      </c>
      <c r="N158" s="47">
        <f t="shared" si="81"/>
        <v>4782</v>
      </c>
      <c r="O158" s="47">
        <f t="shared" si="81"/>
        <v>5033</v>
      </c>
      <c r="P158" s="47">
        <f t="shared" si="81"/>
        <v>5033</v>
      </c>
      <c r="Q158" s="47">
        <f t="shared" si="81"/>
        <v>5033</v>
      </c>
      <c r="R158" s="47">
        <f t="shared" si="81"/>
        <v>8904</v>
      </c>
      <c r="S158" s="47">
        <f t="shared" si="81"/>
        <v>5033</v>
      </c>
      <c r="T158" s="47">
        <f t="shared" si="81"/>
        <v>5033</v>
      </c>
      <c r="U158" s="47">
        <f t="shared" si="81"/>
        <v>5033</v>
      </c>
      <c r="V158" s="47">
        <f t="shared" si="81"/>
        <v>5267</v>
      </c>
      <c r="W158" s="57">
        <f t="shared" si="82"/>
        <v>58715</v>
      </c>
      <c r="X158" s="48">
        <f t="shared" si="83"/>
        <v>58715</v>
      </c>
      <c r="Y158" s="49">
        <f t="shared" si="77"/>
        <v>12917</v>
      </c>
      <c r="Z158" s="50">
        <f t="shared" si="78"/>
        <v>71632</v>
      </c>
      <c r="AA158" s="30">
        <f t="shared" si="79"/>
        <v>0</v>
      </c>
      <c r="AB158" s="30">
        <f>AA158*0.3</f>
        <v>0</v>
      </c>
      <c r="AC158" s="30"/>
      <c r="AD158" s="61">
        <v>57376.8</v>
      </c>
      <c r="AE158" s="30" t="e">
        <f>X158-AD158-#REF!</f>
        <v>#REF!</v>
      </c>
      <c r="AF158" s="30">
        <f t="shared" si="84"/>
        <v>0</v>
      </c>
    </row>
    <row r="159" spans="1:32" ht="12.75">
      <c r="A159" s="41">
        <f t="shared" si="80"/>
        <v>4</v>
      </c>
      <c r="B159" s="41" t="s">
        <v>77</v>
      </c>
      <c r="C159" s="41" t="s">
        <v>78</v>
      </c>
      <c r="D159" s="41"/>
      <c r="E159" s="41"/>
      <c r="F159" s="41"/>
      <c r="G159" s="41"/>
      <c r="H159" s="41"/>
      <c r="I159" s="41"/>
      <c r="J159" s="41"/>
      <c r="K159" s="47">
        <f t="shared" si="81"/>
        <v>3468</v>
      </c>
      <c r="L159" s="47">
        <f t="shared" si="81"/>
        <v>3468</v>
      </c>
      <c r="M159" s="47">
        <f t="shared" si="81"/>
        <v>3468</v>
      </c>
      <c r="N159" s="47">
        <f t="shared" si="81"/>
        <v>3468</v>
      </c>
      <c r="O159" s="47">
        <f t="shared" si="81"/>
        <v>3649</v>
      </c>
      <c r="P159" s="47">
        <f t="shared" si="81"/>
        <v>6966</v>
      </c>
      <c r="Q159" s="47">
        <f t="shared" si="81"/>
        <v>3649</v>
      </c>
      <c r="R159" s="47">
        <f t="shared" si="81"/>
        <v>3649</v>
      </c>
      <c r="S159" s="47">
        <f t="shared" si="81"/>
        <v>3649</v>
      </c>
      <c r="T159" s="47">
        <f t="shared" si="81"/>
        <v>3649</v>
      </c>
      <c r="U159" s="47">
        <f t="shared" si="81"/>
        <v>3649</v>
      </c>
      <c r="V159" s="47">
        <f t="shared" si="81"/>
        <v>3819</v>
      </c>
      <c r="W159" s="57">
        <f t="shared" si="82"/>
        <v>46551</v>
      </c>
      <c r="X159" s="48">
        <f t="shared" si="83"/>
        <v>46551</v>
      </c>
      <c r="Y159" s="49">
        <f t="shared" si="77"/>
        <v>10241</v>
      </c>
      <c r="Z159" s="50">
        <f t="shared" si="78"/>
        <v>56792</v>
      </c>
      <c r="AA159" s="30">
        <f t="shared" si="79"/>
        <v>867</v>
      </c>
      <c r="AB159" s="30">
        <f aca="true" t="shared" si="85" ref="AB159:AB165">AA159*0.1</f>
        <v>86.7</v>
      </c>
      <c r="AC159" s="30"/>
      <c r="AD159" s="30">
        <f>'[2]01.01.17(з мінім)'!$M$30</f>
        <v>42240</v>
      </c>
      <c r="AE159" s="30" t="e">
        <f>X159-AD159-#REF!</f>
        <v>#REF!</v>
      </c>
      <c r="AF159" s="30">
        <f t="shared" si="84"/>
        <v>0</v>
      </c>
    </row>
    <row r="160" spans="1:32" ht="12.75">
      <c r="A160" s="41">
        <f t="shared" si="80"/>
        <v>5</v>
      </c>
      <c r="B160" s="41" t="s">
        <v>77</v>
      </c>
      <c r="C160" s="41" t="s">
        <v>79</v>
      </c>
      <c r="D160" s="41"/>
      <c r="E160" s="41"/>
      <c r="F160" s="41"/>
      <c r="G160" s="41"/>
      <c r="H160" s="41"/>
      <c r="I160" s="41"/>
      <c r="J160" s="41"/>
      <c r="K160" s="47">
        <f t="shared" si="81"/>
        <v>3468</v>
      </c>
      <c r="L160" s="47">
        <f t="shared" si="81"/>
        <v>3468</v>
      </c>
      <c r="M160" s="47">
        <f t="shared" si="81"/>
        <v>3468</v>
      </c>
      <c r="N160" s="47">
        <f t="shared" si="81"/>
        <v>3468</v>
      </c>
      <c r="O160" s="47">
        <f t="shared" si="81"/>
        <v>3649</v>
      </c>
      <c r="P160" s="47">
        <f t="shared" si="81"/>
        <v>3649</v>
      </c>
      <c r="Q160" s="47">
        <f t="shared" si="81"/>
        <v>6966</v>
      </c>
      <c r="R160" s="47">
        <f t="shared" si="81"/>
        <v>3649</v>
      </c>
      <c r="S160" s="47">
        <f t="shared" si="81"/>
        <v>3649</v>
      </c>
      <c r="T160" s="47">
        <f t="shared" si="81"/>
        <v>3649</v>
      </c>
      <c r="U160" s="47">
        <f t="shared" si="81"/>
        <v>3649</v>
      </c>
      <c r="V160" s="47">
        <f t="shared" si="81"/>
        <v>3819</v>
      </c>
      <c r="W160" s="57">
        <f t="shared" si="82"/>
        <v>46551</v>
      </c>
      <c r="X160" s="48">
        <f t="shared" si="83"/>
        <v>46551</v>
      </c>
      <c r="Y160" s="49">
        <f t="shared" si="77"/>
        <v>10241</v>
      </c>
      <c r="Z160" s="50">
        <f t="shared" si="78"/>
        <v>56792</v>
      </c>
      <c r="AA160" s="30">
        <f t="shared" si="79"/>
        <v>867</v>
      </c>
      <c r="AB160" s="30">
        <f t="shared" si="85"/>
        <v>86.7</v>
      </c>
      <c r="AC160" s="30"/>
      <c r="AD160" s="30">
        <f>AD159</f>
        <v>42240</v>
      </c>
      <c r="AE160" s="30" t="e">
        <f>X160-AD160-#REF!</f>
        <v>#REF!</v>
      </c>
      <c r="AF160" s="30">
        <f t="shared" si="84"/>
        <v>0</v>
      </c>
    </row>
    <row r="161" spans="1:32" ht="12.75">
      <c r="A161" s="41">
        <f t="shared" si="80"/>
        <v>6</v>
      </c>
      <c r="B161" s="41" t="s">
        <v>80</v>
      </c>
      <c r="C161" s="41" t="s">
        <v>81</v>
      </c>
      <c r="D161" s="41"/>
      <c r="E161" s="41"/>
      <c r="F161" s="41"/>
      <c r="G161" s="41"/>
      <c r="H161" s="41"/>
      <c r="I161" s="41"/>
      <c r="J161" s="41"/>
      <c r="K161" s="47">
        <f t="shared" si="81"/>
        <v>3204</v>
      </c>
      <c r="L161" s="47">
        <f t="shared" si="81"/>
        <v>3204</v>
      </c>
      <c r="M161" s="47">
        <f t="shared" si="81"/>
        <v>3204</v>
      </c>
      <c r="N161" s="47">
        <f t="shared" si="81"/>
        <v>3204</v>
      </c>
      <c r="O161" s="47">
        <f t="shared" si="81"/>
        <v>3242</v>
      </c>
      <c r="P161" s="47">
        <f t="shared" si="81"/>
        <v>3242</v>
      </c>
      <c r="Q161" s="47">
        <f t="shared" si="81"/>
        <v>3242</v>
      </c>
      <c r="R161" s="47">
        <f t="shared" si="81"/>
        <v>5835</v>
      </c>
      <c r="S161" s="47">
        <f t="shared" si="81"/>
        <v>3242</v>
      </c>
      <c r="T161" s="47">
        <f t="shared" si="81"/>
        <v>3242</v>
      </c>
      <c r="U161" s="47">
        <f t="shared" si="81"/>
        <v>3242</v>
      </c>
      <c r="V161" s="47">
        <f t="shared" si="81"/>
        <v>3256</v>
      </c>
      <c r="W161" s="57">
        <f t="shared" si="82"/>
        <v>41359</v>
      </c>
      <c r="X161" s="48">
        <f t="shared" si="83"/>
        <v>41359</v>
      </c>
      <c r="Y161" s="49">
        <f t="shared" si="77"/>
        <v>9099</v>
      </c>
      <c r="Z161" s="50">
        <f t="shared" si="78"/>
        <v>50458</v>
      </c>
      <c r="AA161" s="30">
        <f t="shared" si="79"/>
        <v>801</v>
      </c>
      <c r="AB161" s="30">
        <f t="shared" si="85"/>
        <v>80.10000000000001</v>
      </c>
      <c r="AC161" s="30"/>
      <c r="AD161" s="30">
        <f>AD160</f>
        <v>42240</v>
      </c>
      <c r="AE161" s="30" t="e">
        <f>X161-AD161-#REF!</f>
        <v>#REF!</v>
      </c>
      <c r="AF161" s="30">
        <f t="shared" si="84"/>
        <v>0</v>
      </c>
    </row>
    <row r="162" spans="1:32" ht="12.75">
      <c r="A162" s="41">
        <f t="shared" si="80"/>
        <v>7</v>
      </c>
      <c r="B162" s="41" t="s">
        <v>80</v>
      </c>
      <c r="C162" s="41" t="s">
        <v>82</v>
      </c>
      <c r="D162" s="41"/>
      <c r="E162" s="41"/>
      <c r="F162" s="41"/>
      <c r="G162" s="41"/>
      <c r="H162" s="41"/>
      <c r="I162" s="41"/>
      <c r="J162" s="41"/>
      <c r="K162" s="47">
        <f t="shared" si="81"/>
        <v>3450</v>
      </c>
      <c r="L162" s="47">
        <f t="shared" si="81"/>
        <v>5914</v>
      </c>
      <c r="M162" s="47">
        <f t="shared" si="81"/>
        <v>3450</v>
      </c>
      <c r="N162" s="47">
        <f t="shared" si="81"/>
        <v>3450</v>
      </c>
      <c r="O162" s="47">
        <f t="shared" si="81"/>
        <v>3501</v>
      </c>
      <c r="P162" s="47">
        <f t="shared" si="81"/>
        <v>3501</v>
      </c>
      <c r="Q162" s="47">
        <f t="shared" si="81"/>
        <v>3501</v>
      </c>
      <c r="R162" s="47">
        <f t="shared" si="81"/>
        <v>3501</v>
      </c>
      <c r="S162" s="47">
        <f t="shared" si="81"/>
        <v>3501</v>
      </c>
      <c r="T162" s="47">
        <f t="shared" si="81"/>
        <v>3501</v>
      </c>
      <c r="U162" s="47">
        <f t="shared" si="81"/>
        <v>3501</v>
      </c>
      <c r="V162" s="47">
        <f t="shared" si="81"/>
        <v>3527</v>
      </c>
      <c r="W162" s="57">
        <f t="shared" si="82"/>
        <v>44298</v>
      </c>
      <c r="X162" s="48">
        <f t="shared" si="83"/>
        <v>44298</v>
      </c>
      <c r="Y162" s="49">
        <f t="shared" si="77"/>
        <v>9746</v>
      </c>
      <c r="Z162" s="50">
        <f t="shared" si="78"/>
        <v>54044</v>
      </c>
      <c r="AA162" s="30">
        <f t="shared" si="79"/>
        <v>862.5</v>
      </c>
      <c r="AB162" s="30">
        <f t="shared" si="85"/>
        <v>86.25</v>
      </c>
      <c r="AC162" s="30"/>
      <c r="AD162">
        <v>48000</v>
      </c>
      <c r="AE162" s="30" t="e">
        <f>X162-AD162-#REF!</f>
        <v>#REF!</v>
      </c>
      <c r="AF162" s="30">
        <f t="shared" si="84"/>
        <v>0</v>
      </c>
    </row>
    <row r="163" spans="1:32" ht="12.75">
      <c r="A163" s="41">
        <f t="shared" si="80"/>
        <v>8</v>
      </c>
      <c r="B163" s="41" t="s">
        <v>83</v>
      </c>
      <c r="C163" s="41" t="s">
        <v>143</v>
      </c>
      <c r="D163" s="41"/>
      <c r="E163" s="41"/>
      <c r="F163" s="41"/>
      <c r="G163" s="41"/>
      <c r="H163" s="41"/>
      <c r="I163" s="41"/>
      <c r="J163" s="41"/>
      <c r="K163" s="47">
        <f t="shared" si="81"/>
        <v>4357</v>
      </c>
      <c r="L163" s="47">
        <f t="shared" si="81"/>
        <v>4357</v>
      </c>
      <c r="M163" s="47">
        <f t="shared" si="81"/>
        <v>4357</v>
      </c>
      <c r="N163" s="47">
        <f t="shared" si="81"/>
        <v>4357</v>
      </c>
      <c r="O163" s="47">
        <f t="shared" si="81"/>
        <v>8070</v>
      </c>
      <c r="P163" s="47">
        <f t="shared" si="81"/>
        <v>4402</v>
      </c>
      <c r="Q163" s="47">
        <f t="shared" si="81"/>
        <v>4402</v>
      </c>
      <c r="R163" s="47">
        <f t="shared" si="81"/>
        <v>4402</v>
      </c>
      <c r="S163" s="47">
        <f t="shared" si="81"/>
        <v>4402</v>
      </c>
      <c r="T163" s="47">
        <f t="shared" si="81"/>
        <v>4402</v>
      </c>
      <c r="U163" s="47">
        <f t="shared" si="81"/>
        <v>4402</v>
      </c>
      <c r="V163" s="47">
        <f t="shared" si="81"/>
        <v>4414</v>
      </c>
      <c r="W163" s="57">
        <f t="shared" si="82"/>
        <v>56324</v>
      </c>
      <c r="X163" s="48">
        <f t="shared" si="83"/>
        <v>56324</v>
      </c>
      <c r="Y163" s="49">
        <f t="shared" si="77"/>
        <v>12391</v>
      </c>
      <c r="Z163" s="50">
        <f t="shared" si="78"/>
        <v>68715</v>
      </c>
      <c r="AA163" s="30">
        <f t="shared" si="79"/>
        <v>1089.25</v>
      </c>
      <c r="AB163" s="30">
        <f t="shared" si="85"/>
        <v>108.92500000000001</v>
      </c>
      <c r="AC163" s="30"/>
      <c r="AD163">
        <v>46002</v>
      </c>
      <c r="AE163" s="30" t="e">
        <f>X163-AD163-#REF!</f>
        <v>#REF!</v>
      </c>
      <c r="AF163" s="30">
        <f t="shared" si="84"/>
        <v>0</v>
      </c>
    </row>
    <row r="164" spans="1:32" ht="12.75">
      <c r="A164" s="41">
        <f t="shared" si="80"/>
        <v>9</v>
      </c>
      <c r="B164" s="41" t="s">
        <v>77</v>
      </c>
      <c r="C164" s="41" t="s">
        <v>84</v>
      </c>
      <c r="D164" s="41"/>
      <c r="E164" s="41"/>
      <c r="F164" s="41"/>
      <c r="G164" s="41"/>
      <c r="H164" s="41"/>
      <c r="I164" s="41"/>
      <c r="J164" s="41"/>
      <c r="K164" s="47">
        <f t="shared" si="81"/>
        <v>6620</v>
      </c>
      <c r="L164" s="47">
        <f t="shared" si="81"/>
        <v>3468</v>
      </c>
      <c r="M164" s="47">
        <f t="shared" si="81"/>
        <v>3468</v>
      </c>
      <c r="N164" s="47">
        <f t="shared" si="81"/>
        <v>3468</v>
      </c>
      <c r="O164" s="47">
        <f t="shared" si="81"/>
        <v>3649</v>
      </c>
      <c r="P164" s="47">
        <f t="shared" si="81"/>
        <v>3649</v>
      </c>
      <c r="Q164" s="47">
        <f t="shared" si="81"/>
        <v>3649</v>
      </c>
      <c r="R164" s="47">
        <f t="shared" si="81"/>
        <v>3649</v>
      </c>
      <c r="S164" s="47">
        <f t="shared" si="81"/>
        <v>3649</v>
      </c>
      <c r="T164" s="47">
        <f t="shared" si="81"/>
        <v>3649</v>
      </c>
      <c r="U164" s="47">
        <f t="shared" si="81"/>
        <v>3649</v>
      </c>
      <c r="V164" s="47">
        <f t="shared" si="81"/>
        <v>3819</v>
      </c>
      <c r="W164" s="57">
        <f t="shared" si="82"/>
        <v>46386</v>
      </c>
      <c r="X164" s="48">
        <f t="shared" si="83"/>
        <v>46386</v>
      </c>
      <c r="Y164" s="49">
        <f t="shared" si="77"/>
        <v>10205</v>
      </c>
      <c r="Z164" s="50">
        <f t="shared" si="78"/>
        <v>56591</v>
      </c>
      <c r="AA164" s="30">
        <f t="shared" si="79"/>
        <v>1655</v>
      </c>
      <c r="AB164" s="30">
        <f t="shared" si="85"/>
        <v>165.5</v>
      </c>
      <c r="AC164" s="30"/>
      <c r="AD164" s="30">
        <f>AD161</f>
        <v>42240</v>
      </c>
      <c r="AE164" s="30" t="e">
        <f>X164-AD164-#REF!</f>
        <v>#REF!</v>
      </c>
      <c r="AF164" s="30">
        <f t="shared" si="84"/>
        <v>0</v>
      </c>
    </row>
    <row r="165" spans="1:32" ht="12.75">
      <c r="A165" s="41">
        <f t="shared" si="80"/>
        <v>10</v>
      </c>
      <c r="B165" s="41" t="s">
        <v>77</v>
      </c>
      <c r="C165" s="41" t="s">
        <v>85</v>
      </c>
      <c r="D165" s="41"/>
      <c r="E165" s="41"/>
      <c r="F165" s="41"/>
      <c r="G165" s="41"/>
      <c r="H165" s="41"/>
      <c r="I165" s="41"/>
      <c r="J165" s="41"/>
      <c r="K165" s="47">
        <f t="shared" si="81"/>
        <v>3468</v>
      </c>
      <c r="L165" s="47">
        <f t="shared" si="81"/>
        <v>3468</v>
      </c>
      <c r="M165" s="47">
        <f t="shared" si="81"/>
        <v>6620</v>
      </c>
      <c r="N165" s="47">
        <f t="shared" si="81"/>
        <v>3468</v>
      </c>
      <c r="O165" s="47">
        <f t="shared" si="81"/>
        <v>3649</v>
      </c>
      <c r="P165" s="47">
        <f t="shared" si="81"/>
        <v>3649</v>
      </c>
      <c r="Q165" s="47">
        <f t="shared" si="81"/>
        <v>3649</v>
      </c>
      <c r="R165" s="47">
        <f t="shared" si="81"/>
        <v>3649</v>
      </c>
      <c r="S165" s="47">
        <f t="shared" si="81"/>
        <v>3649</v>
      </c>
      <c r="T165" s="47">
        <f t="shared" si="81"/>
        <v>3649</v>
      </c>
      <c r="U165" s="47">
        <f t="shared" si="81"/>
        <v>3649</v>
      </c>
      <c r="V165" s="47">
        <f t="shared" si="81"/>
        <v>3819</v>
      </c>
      <c r="W165" s="57">
        <f t="shared" si="82"/>
        <v>46386</v>
      </c>
      <c r="X165" s="48">
        <f t="shared" si="83"/>
        <v>46386</v>
      </c>
      <c r="Y165" s="49">
        <f>ROUND(X165*0.0841,0)</f>
        <v>3901</v>
      </c>
      <c r="Z165" s="50">
        <f t="shared" si="78"/>
        <v>50287</v>
      </c>
      <c r="AA165" s="30">
        <f t="shared" si="79"/>
        <v>867</v>
      </c>
      <c r="AB165" s="30">
        <f t="shared" si="85"/>
        <v>86.7</v>
      </c>
      <c r="AC165" s="30"/>
      <c r="AD165" s="30">
        <f>AD164</f>
        <v>42240</v>
      </c>
      <c r="AE165" s="30" t="e">
        <f>X165-AD165-#REF!</f>
        <v>#REF!</v>
      </c>
      <c r="AF165" s="30">
        <f t="shared" si="84"/>
        <v>0</v>
      </c>
    </row>
    <row r="166" spans="1:32" ht="12.75">
      <c r="A166" s="41">
        <f t="shared" si="80"/>
        <v>11</v>
      </c>
      <c r="B166" s="41" t="s">
        <v>75</v>
      </c>
      <c r="C166" s="41" t="s">
        <v>116</v>
      </c>
      <c r="D166" s="41"/>
      <c r="E166" s="41"/>
      <c r="F166" s="41"/>
      <c r="G166" s="41"/>
      <c r="H166" s="41"/>
      <c r="I166" s="41"/>
      <c r="J166" s="41"/>
      <c r="K166" s="47">
        <f t="shared" si="81"/>
        <v>4782</v>
      </c>
      <c r="L166" s="47">
        <f t="shared" si="81"/>
        <v>4782</v>
      </c>
      <c r="M166" s="47">
        <f t="shared" si="81"/>
        <v>4782</v>
      </c>
      <c r="N166" s="47">
        <f t="shared" si="81"/>
        <v>4782</v>
      </c>
      <c r="O166" s="47">
        <f t="shared" si="81"/>
        <v>5033</v>
      </c>
      <c r="P166" s="47">
        <f t="shared" si="81"/>
        <v>5033</v>
      </c>
      <c r="Q166" s="47">
        <f t="shared" si="81"/>
        <v>8904</v>
      </c>
      <c r="R166" s="47">
        <f t="shared" si="81"/>
        <v>5033</v>
      </c>
      <c r="S166" s="47">
        <f t="shared" si="81"/>
        <v>5033</v>
      </c>
      <c r="T166" s="47">
        <f t="shared" si="81"/>
        <v>5033</v>
      </c>
      <c r="U166" s="47">
        <f t="shared" si="81"/>
        <v>5033</v>
      </c>
      <c r="V166" s="47">
        <f t="shared" si="81"/>
        <v>5267</v>
      </c>
      <c r="W166" s="57">
        <f t="shared" si="82"/>
        <v>63497</v>
      </c>
      <c r="X166" s="48">
        <f t="shared" si="83"/>
        <v>63497</v>
      </c>
      <c r="Y166" s="49">
        <f t="shared" si="77"/>
        <v>13969</v>
      </c>
      <c r="Z166" s="50">
        <f t="shared" si="78"/>
        <v>77466</v>
      </c>
      <c r="AA166" s="30">
        <f t="shared" si="79"/>
        <v>1195.5</v>
      </c>
      <c r="AB166" s="30">
        <f>AA166*0.3</f>
        <v>358.65</v>
      </c>
      <c r="AC166" s="30"/>
      <c r="AD166" s="61">
        <v>57376.8</v>
      </c>
      <c r="AE166" s="30" t="e">
        <f>X166-AD166-#REF!</f>
        <v>#REF!</v>
      </c>
      <c r="AF166" s="30">
        <f t="shared" si="84"/>
        <v>0</v>
      </c>
    </row>
    <row r="167" spans="1:32" ht="12.75">
      <c r="A167" s="41">
        <f t="shared" si="80"/>
        <v>12</v>
      </c>
      <c r="B167" s="41" t="s">
        <v>77</v>
      </c>
      <c r="C167" s="41" t="s">
        <v>117</v>
      </c>
      <c r="D167" s="41"/>
      <c r="E167" s="41"/>
      <c r="F167" s="41"/>
      <c r="G167" s="41"/>
      <c r="H167" s="41"/>
      <c r="I167" s="41"/>
      <c r="J167" s="41"/>
      <c r="K167" s="47">
        <f t="shared" si="81"/>
        <v>3468</v>
      </c>
      <c r="L167" s="47">
        <f t="shared" si="81"/>
        <v>3468</v>
      </c>
      <c r="M167" s="47">
        <f t="shared" si="81"/>
        <v>3468</v>
      </c>
      <c r="N167" s="47">
        <f t="shared" si="81"/>
        <v>3468</v>
      </c>
      <c r="O167" s="47">
        <f t="shared" si="81"/>
        <v>3649</v>
      </c>
      <c r="P167" s="47">
        <f t="shared" si="81"/>
        <v>3649</v>
      </c>
      <c r="Q167" s="47">
        <f t="shared" si="81"/>
        <v>3649</v>
      </c>
      <c r="R167" s="47">
        <f t="shared" si="81"/>
        <v>3649</v>
      </c>
      <c r="S167" s="47">
        <f t="shared" si="81"/>
        <v>6966</v>
      </c>
      <c r="T167" s="47">
        <f t="shared" si="81"/>
        <v>3649</v>
      </c>
      <c r="U167" s="47">
        <f t="shared" si="81"/>
        <v>3649</v>
      </c>
      <c r="V167" s="47">
        <f t="shared" si="81"/>
        <v>3819</v>
      </c>
      <c r="W167" s="57">
        <f t="shared" si="82"/>
        <v>46551</v>
      </c>
      <c r="X167" s="48">
        <f t="shared" si="83"/>
        <v>46551</v>
      </c>
      <c r="Y167" s="49">
        <f t="shared" si="77"/>
        <v>10241</v>
      </c>
      <c r="Z167" s="50">
        <f t="shared" si="78"/>
        <v>56792</v>
      </c>
      <c r="AA167" s="30">
        <f t="shared" si="79"/>
        <v>867</v>
      </c>
      <c r="AB167" s="30">
        <f>AA167*0.1</f>
        <v>86.7</v>
      </c>
      <c r="AC167" s="30"/>
      <c r="AD167" s="30">
        <f>AD165</f>
        <v>42240</v>
      </c>
      <c r="AE167" s="30" t="e">
        <f>X167-AD167-#REF!</f>
        <v>#REF!</v>
      </c>
      <c r="AF167" s="30">
        <f t="shared" si="84"/>
        <v>0</v>
      </c>
    </row>
    <row r="168" spans="1:32" ht="12.75">
      <c r="A168" s="41">
        <f t="shared" si="80"/>
        <v>13</v>
      </c>
      <c r="B168" s="41" t="s">
        <v>77</v>
      </c>
      <c r="C168" s="41" t="s">
        <v>118</v>
      </c>
      <c r="D168" s="41"/>
      <c r="E168" s="41"/>
      <c r="F168" s="41"/>
      <c r="G168" s="41"/>
      <c r="H168" s="41"/>
      <c r="I168" s="41"/>
      <c r="J168" s="41"/>
      <c r="K168" s="47">
        <f t="shared" si="81"/>
        <v>4782</v>
      </c>
      <c r="L168" s="47">
        <f t="shared" si="81"/>
        <v>3468</v>
      </c>
      <c r="M168" s="47">
        <f t="shared" si="81"/>
        <v>6620</v>
      </c>
      <c r="N168" s="47">
        <f t="shared" si="81"/>
        <v>3468</v>
      </c>
      <c r="O168" s="47">
        <f t="shared" si="81"/>
        <v>3649</v>
      </c>
      <c r="P168" s="47">
        <f t="shared" si="81"/>
        <v>3649</v>
      </c>
      <c r="Q168" s="47">
        <f t="shared" si="81"/>
        <v>3649</v>
      </c>
      <c r="R168" s="47">
        <f t="shared" si="81"/>
        <v>3649</v>
      </c>
      <c r="S168" s="47">
        <f t="shared" si="81"/>
        <v>3649</v>
      </c>
      <c r="T168" s="47">
        <f t="shared" si="81"/>
        <v>3649</v>
      </c>
      <c r="U168" s="47">
        <f t="shared" si="81"/>
        <v>3649</v>
      </c>
      <c r="V168" s="47">
        <f t="shared" si="81"/>
        <v>3819</v>
      </c>
      <c r="W168" s="57">
        <f t="shared" si="82"/>
        <v>47700</v>
      </c>
      <c r="X168" s="48">
        <f t="shared" si="83"/>
        <v>47700</v>
      </c>
      <c r="Y168" s="49">
        <f t="shared" si="77"/>
        <v>10494</v>
      </c>
      <c r="Z168" s="50">
        <f t="shared" si="78"/>
        <v>58194</v>
      </c>
      <c r="AA168" s="30">
        <f t="shared" si="79"/>
        <v>1195.5</v>
      </c>
      <c r="AB168" s="30">
        <f>AA168*0.1</f>
        <v>119.55000000000001</v>
      </c>
      <c r="AC168" s="30"/>
      <c r="AD168" s="30">
        <f>AD167</f>
        <v>42240</v>
      </c>
      <c r="AE168" s="30" t="e">
        <f>X168-AD168-#REF!</f>
        <v>#REF!</v>
      </c>
      <c r="AF168" s="30">
        <f t="shared" si="84"/>
        <v>0</v>
      </c>
    </row>
    <row r="169" spans="1:32" ht="12.75">
      <c r="A169" s="41">
        <f t="shared" si="80"/>
        <v>14</v>
      </c>
      <c r="B169" s="41" t="s">
        <v>77</v>
      </c>
      <c r="C169" s="41" t="s">
        <v>119</v>
      </c>
      <c r="D169" s="41"/>
      <c r="E169" s="41"/>
      <c r="F169" s="41"/>
      <c r="G169" s="41"/>
      <c r="H169" s="41"/>
      <c r="I169" s="41"/>
      <c r="J169" s="41"/>
      <c r="K169" s="47">
        <f t="shared" si="81"/>
        <v>1600</v>
      </c>
      <c r="L169" s="47">
        <f t="shared" si="81"/>
        <v>1600</v>
      </c>
      <c r="M169" s="47">
        <f t="shared" si="81"/>
        <v>1600</v>
      </c>
      <c r="N169" s="47">
        <f t="shared" si="81"/>
        <v>1600</v>
      </c>
      <c r="O169" s="47">
        <f t="shared" si="81"/>
        <v>1658.5</v>
      </c>
      <c r="P169" s="47">
        <f t="shared" si="81"/>
        <v>1658.5</v>
      </c>
      <c r="Q169" s="47">
        <f t="shared" si="81"/>
        <v>1658.5</v>
      </c>
      <c r="R169" s="47">
        <f t="shared" si="81"/>
        <v>1658.5</v>
      </c>
      <c r="S169" s="47">
        <f t="shared" si="81"/>
        <v>1658.5</v>
      </c>
      <c r="T169" s="47">
        <f t="shared" si="81"/>
        <v>1658.5</v>
      </c>
      <c r="U169" s="47">
        <f t="shared" si="81"/>
        <v>1658.5</v>
      </c>
      <c r="V169" s="47">
        <f t="shared" si="81"/>
        <v>1735.5</v>
      </c>
      <c r="W169" s="57">
        <f t="shared" si="82"/>
        <v>19745</v>
      </c>
      <c r="X169" s="48">
        <f t="shared" si="83"/>
        <v>19745</v>
      </c>
      <c r="Y169" s="49">
        <f>ROUND(X169*0.0841,0)</f>
        <v>1661</v>
      </c>
      <c r="Z169" s="50">
        <f t="shared" si="78"/>
        <v>21406</v>
      </c>
      <c r="AA169" s="30">
        <f t="shared" si="79"/>
        <v>400</v>
      </c>
      <c r="AB169" s="30">
        <f>AA169*0.1</f>
        <v>40</v>
      </c>
      <c r="AC169" s="30"/>
      <c r="AD169" s="30">
        <f>AD168</f>
        <v>42240</v>
      </c>
      <c r="AE169" s="30" t="e">
        <f>X169-AD169-#REF!</f>
        <v>#REF!</v>
      </c>
      <c r="AF169" s="30">
        <f t="shared" si="84"/>
        <v>0</v>
      </c>
    </row>
    <row r="170" spans="1:32" ht="12.75">
      <c r="A170" s="41">
        <f t="shared" si="80"/>
        <v>15</v>
      </c>
      <c r="B170" s="41" t="s">
        <v>77</v>
      </c>
      <c r="C170" s="41" t="s">
        <v>136</v>
      </c>
      <c r="D170" s="41"/>
      <c r="E170" s="41"/>
      <c r="F170" s="41"/>
      <c r="G170" s="41"/>
      <c r="H170" s="41"/>
      <c r="I170" s="41"/>
      <c r="J170" s="41"/>
      <c r="K170" s="47">
        <f t="shared" si="81"/>
        <v>1813</v>
      </c>
      <c r="L170" s="47">
        <f t="shared" si="81"/>
        <v>1813</v>
      </c>
      <c r="M170" s="47">
        <f t="shared" si="81"/>
        <v>1813</v>
      </c>
      <c r="N170" s="47">
        <f t="shared" si="81"/>
        <v>1813</v>
      </c>
      <c r="O170" s="47">
        <f t="shared" si="81"/>
        <v>1907.5</v>
      </c>
      <c r="P170" s="47">
        <f t="shared" si="81"/>
        <v>1907.5</v>
      </c>
      <c r="Q170" s="47">
        <f t="shared" si="81"/>
        <v>1907.5</v>
      </c>
      <c r="R170" s="47">
        <f t="shared" si="81"/>
        <v>1907.5</v>
      </c>
      <c r="S170" s="47">
        <f t="shared" si="81"/>
        <v>1907.5</v>
      </c>
      <c r="T170" s="47">
        <f t="shared" si="81"/>
        <v>1907.5</v>
      </c>
      <c r="U170" s="47">
        <f t="shared" si="81"/>
        <v>1907.5</v>
      </c>
      <c r="V170" s="47">
        <f t="shared" si="81"/>
        <v>1996.5</v>
      </c>
      <c r="W170" s="57">
        <f t="shared" si="82"/>
        <v>22601</v>
      </c>
      <c r="X170" s="48">
        <f t="shared" si="83"/>
        <v>22601</v>
      </c>
      <c r="Y170" s="49">
        <f t="shared" si="77"/>
        <v>4972</v>
      </c>
      <c r="Z170" s="50">
        <f t="shared" si="78"/>
        <v>27573</v>
      </c>
      <c r="AA170" s="30"/>
      <c r="AB170" s="30"/>
      <c r="AC170" s="30"/>
      <c r="AD170" s="30"/>
      <c r="AE170" s="30"/>
      <c r="AF170" s="30">
        <f t="shared" si="84"/>
        <v>0</v>
      </c>
    </row>
    <row r="171" spans="1:32" ht="12.75">
      <c r="A171" s="41">
        <f t="shared" si="80"/>
        <v>16</v>
      </c>
      <c r="B171" s="41" t="s">
        <v>77</v>
      </c>
      <c r="C171" s="41" t="s">
        <v>137</v>
      </c>
      <c r="D171" s="41"/>
      <c r="E171" s="41"/>
      <c r="F171" s="41"/>
      <c r="G171" s="41"/>
      <c r="H171" s="41"/>
      <c r="I171" s="41"/>
      <c r="J171" s="41"/>
      <c r="K171" s="47">
        <f t="shared" si="81"/>
        <v>1600</v>
      </c>
      <c r="L171" s="47">
        <f t="shared" si="81"/>
        <v>0</v>
      </c>
      <c r="M171" s="47">
        <f t="shared" si="81"/>
        <v>0</v>
      </c>
      <c r="N171" s="47">
        <f t="shared" si="81"/>
        <v>0</v>
      </c>
      <c r="O171" s="47">
        <f t="shared" si="81"/>
        <v>0</v>
      </c>
      <c r="P171" s="47">
        <f t="shared" si="81"/>
        <v>0</v>
      </c>
      <c r="Q171" s="47">
        <f t="shared" si="81"/>
        <v>0</v>
      </c>
      <c r="R171" s="47">
        <f t="shared" si="81"/>
        <v>0</v>
      </c>
      <c r="S171" s="47">
        <f t="shared" si="81"/>
        <v>0</v>
      </c>
      <c r="T171" s="47">
        <f t="shared" si="81"/>
        <v>0</v>
      </c>
      <c r="U171" s="47">
        <f t="shared" si="81"/>
        <v>0</v>
      </c>
      <c r="V171" s="47">
        <f t="shared" si="81"/>
        <v>0</v>
      </c>
      <c r="W171" s="57">
        <f t="shared" si="82"/>
        <v>1600</v>
      </c>
      <c r="X171" s="48">
        <f t="shared" si="83"/>
        <v>1600</v>
      </c>
      <c r="Y171" s="49">
        <f t="shared" si="77"/>
        <v>352</v>
      </c>
      <c r="Z171" s="50">
        <f t="shared" si="78"/>
        <v>1952</v>
      </c>
      <c r="AA171" s="30"/>
      <c r="AB171" s="30"/>
      <c r="AC171" s="30"/>
      <c r="AD171" s="30"/>
      <c r="AE171" s="30"/>
      <c r="AF171" s="30">
        <f t="shared" si="84"/>
        <v>0</v>
      </c>
    </row>
    <row r="172" spans="1:32" ht="12.75">
      <c r="A172" s="41">
        <v>17</v>
      </c>
      <c r="B172" s="41" t="s">
        <v>77</v>
      </c>
      <c r="C172" s="41" t="s">
        <v>142</v>
      </c>
      <c r="D172" s="41"/>
      <c r="E172" s="41"/>
      <c r="F172" s="41"/>
      <c r="G172" s="41"/>
      <c r="H172" s="41"/>
      <c r="I172" s="41"/>
      <c r="J172" s="41"/>
      <c r="K172" s="47">
        <f t="shared" si="81"/>
        <v>1600</v>
      </c>
      <c r="L172" s="47">
        <f t="shared" si="81"/>
        <v>0</v>
      </c>
      <c r="M172" s="47">
        <f t="shared" si="81"/>
        <v>0</v>
      </c>
      <c r="N172" s="47">
        <f t="shared" si="81"/>
        <v>0</v>
      </c>
      <c r="O172" s="47">
        <f t="shared" si="81"/>
        <v>0</v>
      </c>
      <c r="P172" s="47">
        <f t="shared" si="81"/>
        <v>0</v>
      </c>
      <c r="Q172" s="47">
        <f t="shared" si="81"/>
        <v>0</v>
      </c>
      <c r="R172" s="47">
        <f t="shared" si="81"/>
        <v>0</v>
      </c>
      <c r="S172" s="47">
        <f t="shared" si="81"/>
        <v>0</v>
      </c>
      <c r="T172" s="47">
        <f t="shared" si="81"/>
        <v>0</v>
      </c>
      <c r="U172" s="47">
        <f t="shared" si="81"/>
        <v>0</v>
      </c>
      <c r="V172" s="47">
        <f t="shared" si="81"/>
        <v>0</v>
      </c>
      <c r="W172" s="57">
        <f t="shared" si="82"/>
        <v>1600</v>
      </c>
      <c r="X172" s="48">
        <f t="shared" si="83"/>
        <v>1600</v>
      </c>
      <c r="Y172" s="49">
        <f>ROUND(X172*0.0841,0)</f>
        <v>135</v>
      </c>
      <c r="Z172" s="50">
        <f t="shared" si="78"/>
        <v>1735</v>
      </c>
      <c r="AA172" s="30"/>
      <c r="AB172" s="30"/>
      <c r="AC172" s="30"/>
      <c r="AD172" s="30"/>
      <c r="AE172" s="30"/>
      <c r="AF172" s="30">
        <f t="shared" si="84"/>
        <v>0</v>
      </c>
    </row>
    <row r="173" spans="1:32" ht="12.75">
      <c r="A173" s="41">
        <f>A171+1</f>
        <v>17</v>
      </c>
      <c r="B173" s="41" t="s">
        <v>120</v>
      </c>
      <c r="C173" s="41" t="s">
        <v>138</v>
      </c>
      <c r="D173" s="41"/>
      <c r="E173" s="41"/>
      <c r="F173" s="41"/>
      <c r="G173" s="41"/>
      <c r="H173" s="41"/>
      <c r="I173" s="41"/>
      <c r="J173" s="41"/>
      <c r="K173" s="47">
        <f t="shared" si="81"/>
        <v>1600</v>
      </c>
      <c r="L173" s="47">
        <f t="shared" si="81"/>
        <v>1600</v>
      </c>
      <c r="M173" s="47">
        <f t="shared" si="81"/>
        <v>1600</v>
      </c>
      <c r="N173" s="47">
        <f t="shared" si="81"/>
        <v>1600</v>
      </c>
      <c r="O173" s="47">
        <f t="shared" si="81"/>
        <v>1675.5</v>
      </c>
      <c r="P173" s="47">
        <f t="shared" si="81"/>
        <v>1675.5</v>
      </c>
      <c r="Q173" s="47">
        <f t="shared" si="81"/>
        <v>1675.5</v>
      </c>
      <c r="R173" s="47">
        <f t="shared" si="81"/>
        <v>1675.5</v>
      </c>
      <c r="S173" s="47">
        <f t="shared" si="81"/>
        <v>1675.5</v>
      </c>
      <c r="T173" s="47">
        <f t="shared" si="81"/>
        <v>1675.5</v>
      </c>
      <c r="U173" s="47">
        <f t="shared" si="81"/>
        <v>1675.5</v>
      </c>
      <c r="V173" s="47">
        <f t="shared" si="81"/>
        <v>1753</v>
      </c>
      <c r="W173" s="57">
        <f t="shared" si="82"/>
        <v>19881.5</v>
      </c>
      <c r="X173" s="48">
        <f t="shared" si="83"/>
        <v>19881.5</v>
      </c>
      <c r="Y173" s="49">
        <f t="shared" si="77"/>
        <v>4374</v>
      </c>
      <c r="Z173" s="50">
        <f t="shared" si="78"/>
        <v>24255.5</v>
      </c>
      <c r="AA173" s="30"/>
      <c r="AB173" s="30"/>
      <c r="AC173" s="30"/>
      <c r="AD173" s="30"/>
      <c r="AE173" s="30"/>
      <c r="AF173" s="30">
        <f t="shared" si="84"/>
        <v>0</v>
      </c>
    </row>
    <row r="174" spans="1:32" ht="12.75">
      <c r="A174" s="41">
        <f>A173+1</f>
        <v>18</v>
      </c>
      <c r="B174" s="41" t="s">
        <v>120</v>
      </c>
      <c r="C174" s="41" t="s">
        <v>121</v>
      </c>
      <c r="D174" s="41"/>
      <c r="E174" s="41"/>
      <c r="F174" s="41"/>
      <c r="G174" s="41"/>
      <c r="H174" s="41"/>
      <c r="I174" s="41"/>
      <c r="J174" s="41"/>
      <c r="K174" s="47">
        <f t="shared" si="81"/>
        <v>1600</v>
      </c>
      <c r="L174" s="47">
        <f t="shared" si="81"/>
        <v>1600</v>
      </c>
      <c r="M174" s="47">
        <f t="shared" si="81"/>
        <v>1600</v>
      </c>
      <c r="N174" s="47">
        <f t="shared" si="81"/>
        <v>1600</v>
      </c>
      <c r="O174" s="47">
        <f t="shared" si="81"/>
        <v>1675.5</v>
      </c>
      <c r="P174" s="47">
        <f t="shared" si="81"/>
        <v>1675.5</v>
      </c>
      <c r="Q174" s="47">
        <f t="shared" si="81"/>
        <v>1675.5</v>
      </c>
      <c r="R174" s="47">
        <f t="shared" si="81"/>
        <v>1675.5</v>
      </c>
      <c r="S174" s="47">
        <f t="shared" si="81"/>
        <v>1675.5</v>
      </c>
      <c r="T174" s="47">
        <f t="shared" si="81"/>
        <v>1675.5</v>
      </c>
      <c r="U174" s="47">
        <f t="shared" si="81"/>
        <v>1675.5</v>
      </c>
      <c r="V174" s="47">
        <f t="shared" si="81"/>
        <v>1753</v>
      </c>
      <c r="W174" s="57">
        <f>SUM(K174:V174)</f>
        <v>19881.5</v>
      </c>
      <c r="X174" s="48">
        <f t="shared" si="83"/>
        <v>19881.5</v>
      </c>
      <c r="Y174" s="49">
        <f t="shared" si="77"/>
        <v>4374</v>
      </c>
      <c r="Z174" s="50">
        <f>Y174+X174</f>
        <v>24255.5</v>
      </c>
      <c r="AA174" s="30">
        <f>K174/4</f>
        <v>400</v>
      </c>
      <c r="AB174" s="30">
        <f>AA174*0.1</f>
        <v>40</v>
      </c>
      <c r="AC174" s="30"/>
      <c r="AD174">
        <v>48000</v>
      </c>
      <c r="AE174" s="30" t="e">
        <f>X174-AD174-#REF!</f>
        <v>#REF!</v>
      </c>
      <c r="AF174" s="30">
        <f t="shared" si="84"/>
        <v>0</v>
      </c>
    </row>
    <row r="175" spans="2:32" s="55" customFormat="1" ht="12.75">
      <c r="B175" s="52" t="s">
        <v>70</v>
      </c>
      <c r="C175" s="52"/>
      <c r="D175" s="52"/>
      <c r="E175" s="52"/>
      <c r="F175" s="53"/>
      <c r="G175" s="53"/>
      <c r="H175" s="53"/>
      <c r="I175" s="53"/>
      <c r="J175" s="53"/>
      <c r="K175" s="54">
        <f>ROUND(SUM(K156:K165)/10,0)*10</f>
        <v>32570</v>
      </c>
      <c r="L175" s="54">
        <f>ROUND(SUM(L156:L165)/10,0)*10</f>
        <v>41690</v>
      </c>
      <c r="M175" s="54">
        <f>ROUND(SUM(M156:M165)/10,0)*10</f>
        <v>42380</v>
      </c>
      <c r="N175" s="54">
        <f>ROUND(SUM(N156:N165)/10,0)*10</f>
        <v>42720</v>
      </c>
      <c r="O175" s="54">
        <f>ROUND(SUM(O156:O165)/10,0)*10</f>
        <v>44510</v>
      </c>
      <c r="P175" s="54">
        <f aca="true" t="shared" si="86" ref="P175:U175">ROUND(SUM(P156:P165)/10,0)*10</f>
        <v>44160</v>
      </c>
      <c r="Q175" s="54">
        <f t="shared" si="86"/>
        <v>44160</v>
      </c>
      <c r="R175" s="54">
        <f t="shared" si="86"/>
        <v>47310</v>
      </c>
      <c r="S175" s="54">
        <f t="shared" si="86"/>
        <v>44920</v>
      </c>
      <c r="T175" s="54">
        <f t="shared" si="86"/>
        <v>40840</v>
      </c>
      <c r="U175" s="54">
        <f t="shared" si="86"/>
        <v>40840</v>
      </c>
      <c r="V175" s="54">
        <f>ROUNDDOWN(SUM(V156:V165)/10,0)*10</f>
        <v>42270</v>
      </c>
      <c r="W175" s="54">
        <f aca="true" t="shared" si="87" ref="W175:AB175">SUM(W156:W174)</f>
        <v>751416</v>
      </c>
      <c r="X175" s="54">
        <f t="shared" si="87"/>
        <v>751416</v>
      </c>
      <c r="Y175" s="54">
        <f t="shared" si="87"/>
        <v>156107</v>
      </c>
      <c r="Z175" s="54">
        <f t="shared" si="87"/>
        <v>907523</v>
      </c>
      <c r="AA175" s="30">
        <f t="shared" si="87"/>
        <v>12199.5</v>
      </c>
      <c r="AB175" s="30">
        <f t="shared" si="87"/>
        <v>1685.6</v>
      </c>
      <c r="AC175" s="30"/>
      <c r="AD175" s="59">
        <f>SUM(AD156:AD174)</f>
        <v>709444.8</v>
      </c>
      <c r="AE175" s="59" t="e">
        <f>SUM(AE156:AE174)</f>
        <v>#REF!</v>
      </c>
      <c r="AF175" s="55">
        <v>41520</v>
      </c>
    </row>
    <row r="176" spans="11:23" ht="12.75"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W176" s="58"/>
    </row>
    <row r="177" spans="11:21" ht="12.75"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1:21" ht="12.75"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1:21" ht="12.75"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1:21" ht="12.75"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1:21" ht="12.75"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1:21" ht="12.75"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1:21" ht="12.75"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1:21" ht="12.75"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1:21" ht="12.75"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1:21" ht="12.75"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1:21" ht="12.75"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1:21" ht="12.75"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1:21" ht="12.75"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1:21" ht="12.75"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1:21" ht="12.75"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1:21" ht="12.75"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1:21" ht="12.75"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1:21" ht="12.75"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1:21" ht="12.75"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1:21" ht="12.75"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1:21" ht="12.75"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1:21" ht="12.75"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1:21" ht="12.75"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1:21" ht="12.75"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1:21" ht="12.75"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</row>
    <row r="202" spans="11:21" ht="12.75"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</row>
    <row r="203" spans="11:21" ht="12.75"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</row>
    <row r="204" spans="11:21" ht="12.75"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</row>
    <row r="205" spans="11:21" ht="12.75"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</row>
    <row r="206" spans="11:21" ht="12.75"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</row>
    <row r="207" spans="11:21" ht="12.75"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</row>
    <row r="208" spans="11:21" ht="12.75"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</row>
    <row r="209" spans="11:21" ht="12.75"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</row>
    <row r="210" spans="11:21" ht="12.75"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</row>
    <row r="211" spans="11:21" ht="12.75"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</row>
    <row r="212" spans="11:21" ht="12.75"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</row>
    <row r="213" spans="11:21" ht="12.75"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</row>
    <row r="214" spans="11:21" ht="12.75"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</row>
    <row r="215" spans="11:21" ht="12.75"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</row>
    <row r="216" spans="11:21" ht="12.75"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</row>
    <row r="217" spans="11:21" ht="12.75"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</row>
    <row r="218" spans="11:21" ht="12.75"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</row>
    <row r="219" spans="11:21" ht="12.75"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</row>
    <row r="220" spans="11:21" ht="12.75"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</row>
    <row r="221" spans="11:21" ht="12.75"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</row>
    <row r="222" spans="11:21" ht="12.75"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</row>
    <row r="223" spans="11:21" ht="12.75"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</row>
    <row r="224" spans="11:21" ht="12.75"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</row>
    <row r="225" spans="11:21" ht="12.75"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</row>
    <row r="226" spans="11:21" ht="12.75"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</row>
    <row r="227" spans="11:21" ht="12.75"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</row>
    <row r="228" spans="11:21" ht="12.75"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</row>
    <row r="229" spans="11:21" ht="12.75"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</row>
    <row r="230" spans="11:21" ht="12.75"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</row>
    <row r="231" spans="11:21" ht="12.75"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</row>
    <row r="232" spans="11:21" ht="12.75"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</row>
    <row r="233" spans="11:21" ht="12.75"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</row>
    <row r="234" spans="11:21" ht="12.75"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</row>
    <row r="235" spans="11:21" ht="12.75"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</row>
    <row r="236" spans="11:21" ht="12.75"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</row>
    <row r="237" spans="11:21" ht="12.75"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</row>
    <row r="238" spans="11:21" ht="12.75"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</row>
    <row r="239" spans="11:21" ht="12.75"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</row>
    <row r="240" spans="11:21" ht="12.75"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</row>
    <row r="241" spans="11:21" ht="12.75"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</row>
    <row r="242" spans="11:21" ht="12.75"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</row>
    <row r="243" spans="11:21" ht="12.75"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</row>
    <row r="244" spans="11:21" ht="12.75"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</row>
    <row r="245" spans="11:21" ht="12.75"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</row>
    <row r="246" spans="11:21" ht="12.75"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</row>
    <row r="247" spans="11:21" ht="12.75"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</row>
    <row r="248" spans="11:21" ht="12.75"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</row>
    <row r="249" spans="11:21" ht="12.75"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</row>
    <row r="250" spans="11:21" ht="12.75"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</row>
    <row r="251" spans="11:21" ht="12.75"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</row>
    <row r="252" spans="11:21" ht="12.75"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</row>
    <row r="253" spans="11:21" ht="12.75"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</row>
    <row r="254" spans="11:21" ht="12.75"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</row>
    <row r="255" spans="11:21" ht="12.75"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</row>
    <row r="256" spans="11:21" ht="12.75"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</row>
    <row r="257" spans="11:21" ht="12.75"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</row>
    <row r="258" spans="11:21" ht="12.75"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</row>
    <row r="259" spans="11:21" ht="12.75"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</row>
    <row r="260" spans="11:21" ht="12.75"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</row>
    <row r="261" spans="11:21" ht="12.75"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</row>
    <row r="262" spans="11:21" ht="12.75"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</row>
    <row r="263" spans="11:21" ht="12.75"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</row>
    <row r="264" spans="11:21" ht="12.75"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</row>
    <row r="265" spans="11:21" ht="12.75"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</row>
    <row r="266" spans="11:21" ht="12.75"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</row>
    <row r="267" spans="11:21" ht="12.75"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</row>
    <row r="268" spans="11:21" ht="12.75"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</row>
    <row r="269" spans="11:21" ht="12.75"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</row>
    <row r="270" spans="11:21" ht="12.75"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</row>
    <row r="271" spans="11:21" ht="12.75"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</row>
    <row r="272" spans="11:21" ht="12.75"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</row>
    <row r="273" spans="11:21" ht="12.75"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</row>
    <row r="274" spans="11:21" ht="12.75"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</row>
    <row r="275" spans="11:21" ht="12.75"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</row>
    <row r="276" spans="11:21" ht="12.75"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</row>
    <row r="277" spans="11:21" ht="12.75"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</row>
    <row r="278" spans="11:21" ht="12.75"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</row>
    <row r="279" spans="11:21" ht="12.75"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</row>
    <row r="280" spans="11:21" ht="12.75"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</row>
    <row r="281" spans="11:21" ht="12.75"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</row>
    <row r="282" spans="11:21" ht="12.75"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</row>
    <row r="283" spans="11:21" ht="12.75"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</row>
    <row r="284" spans="11:21" ht="12.75"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</row>
    <row r="285" spans="11:21" ht="12.75"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</row>
    <row r="286" spans="11:21" ht="12.75"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</row>
    <row r="287" spans="11:21" ht="12.75"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</row>
    <row r="288" spans="11:21" ht="12.75"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</row>
    <row r="289" spans="11:21" ht="12.75"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</row>
    <row r="290" spans="11:21" ht="12.75"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</row>
    <row r="291" spans="11:21" ht="12.75"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</row>
    <row r="292" spans="11:21" ht="12.75"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</row>
    <row r="293" spans="11:21" ht="12.75"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</row>
    <row r="294" spans="11:21" ht="12.75"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</row>
    <row r="295" spans="11:21" ht="12.75"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</row>
    <row r="296" spans="11:21" ht="12.75"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</row>
    <row r="297" spans="11:21" ht="12.75"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</row>
    <row r="298" spans="11:21" ht="12.75"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</row>
    <row r="299" spans="11:21" ht="12.75"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</row>
    <row r="300" spans="11:21" ht="12.75"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</row>
    <row r="301" spans="11:21" ht="12.75"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</row>
    <row r="302" spans="11:21" ht="12.75"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</row>
    <row r="303" spans="11:21" ht="12.75"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</row>
    <row r="304" spans="11:21" ht="12.75"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</row>
    <row r="305" spans="11:21" ht="12.75"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</row>
    <row r="306" spans="11:21" ht="12.75"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</row>
    <row r="307" spans="11:21" ht="12.75"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</row>
    <row r="308" spans="11:21" ht="12.75"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</row>
    <row r="309" spans="11:21" ht="12.75"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</row>
    <row r="310" spans="11:21" ht="12.75"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</row>
    <row r="311" spans="11:21" ht="12.75"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</row>
    <row r="312" spans="11:21" ht="12.75"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</row>
    <row r="313" spans="11:21" ht="12.75"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</row>
    <row r="314" spans="11:21" ht="12.75"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</row>
    <row r="315" spans="11:21" ht="12.75"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</row>
    <row r="316" spans="11:21" ht="12.75"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</row>
    <row r="317" spans="11:21" ht="12.75"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</row>
  </sheetData>
  <sheetProtection/>
  <autoFilter ref="A5:Z126"/>
  <mergeCells count="168">
    <mergeCell ref="Y3:Y4"/>
    <mergeCell ref="Z3:Z4"/>
    <mergeCell ref="B3:B4"/>
    <mergeCell ref="O3:O4"/>
    <mergeCell ref="X3:X4"/>
    <mergeCell ref="V3:V4"/>
    <mergeCell ref="W3:W4"/>
    <mergeCell ref="P3:P4"/>
    <mergeCell ref="Q3:Q4"/>
    <mergeCell ref="R3:R4"/>
    <mergeCell ref="A3:A4"/>
    <mergeCell ref="K3:K4"/>
    <mergeCell ref="F3:F4"/>
    <mergeCell ref="J3:J4"/>
    <mergeCell ref="E3:E4"/>
    <mergeCell ref="D3:D4"/>
    <mergeCell ref="C3:C4"/>
    <mergeCell ref="G3:I3"/>
    <mergeCell ref="K103:K104"/>
    <mergeCell ref="L103:L104"/>
    <mergeCell ref="M103:M104"/>
    <mergeCell ref="N103:N104"/>
    <mergeCell ref="O103:O104"/>
    <mergeCell ref="P103:P104"/>
    <mergeCell ref="L53:L54"/>
    <mergeCell ref="M53:M54"/>
    <mergeCell ref="N53:N54"/>
    <mergeCell ref="S3:S4"/>
    <mergeCell ref="T3:T4"/>
    <mergeCell ref="U3:U4"/>
    <mergeCell ref="L3:L4"/>
    <mergeCell ref="M3:M4"/>
    <mergeCell ref="N3:N4"/>
    <mergeCell ref="O28:O29"/>
    <mergeCell ref="P28:P29"/>
    <mergeCell ref="Q28:Q29"/>
    <mergeCell ref="E28:E29"/>
    <mergeCell ref="F28:F29"/>
    <mergeCell ref="G28:I28"/>
    <mergeCell ref="J28:J29"/>
    <mergeCell ref="A28:A29"/>
    <mergeCell ref="B28:B29"/>
    <mergeCell ref="C28:C29"/>
    <mergeCell ref="D28:D29"/>
    <mergeCell ref="T28:T29"/>
    <mergeCell ref="U28:U29"/>
    <mergeCell ref="K28:K29"/>
    <mergeCell ref="L28:L29"/>
    <mergeCell ref="M28:M29"/>
    <mergeCell ref="N28:N29"/>
    <mergeCell ref="F53:F54"/>
    <mergeCell ref="G53:I53"/>
    <mergeCell ref="J53:J54"/>
    <mergeCell ref="K53:K54"/>
    <mergeCell ref="X28:X29"/>
    <mergeCell ref="Y28:Y29"/>
    <mergeCell ref="V28:V29"/>
    <mergeCell ref="W28:W29"/>
    <mergeCell ref="R28:R29"/>
    <mergeCell ref="S28:S29"/>
    <mergeCell ref="O53:O54"/>
    <mergeCell ref="P53:P54"/>
    <mergeCell ref="Q53:Q54"/>
    <mergeCell ref="R53:R54"/>
    <mergeCell ref="Z28:Z29"/>
    <mergeCell ref="A53:A54"/>
    <mergeCell ref="B53:B54"/>
    <mergeCell ref="C53:C54"/>
    <mergeCell ref="D53:D54"/>
    <mergeCell ref="E53:E54"/>
    <mergeCell ref="W53:W54"/>
    <mergeCell ref="X53:X54"/>
    <mergeCell ref="Y53:Y54"/>
    <mergeCell ref="Z53:Z54"/>
    <mergeCell ref="S53:S54"/>
    <mergeCell ref="T53:T54"/>
    <mergeCell ref="U53:U54"/>
    <mergeCell ref="V53:V54"/>
    <mergeCell ref="E103:E104"/>
    <mergeCell ref="F103:F104"/>
    <mergeCell ref="G103:I103"/>
    <mergeCell ref="R103:R104"/>
    <mergeCell ref="A103:A104"/>
    <mergeCell ref="B103:B104"/>
    <mergeCell ref="C103:C104"/>
    <mergeCell ref="D103:D104"/>
    <mergeCell ref="Q103:Q104"/>
    <mergeCell ref="J103:J104"/>
    <mergeCell ref="Y103:Y104"/>
    <mergeCell ref="V103:V104"/>
    <mergeCell ref="W103:W104"/>
    <mergeCell ref="Z103:Z104"/>
    <mergeCell ref="S103:S104"/>
    <mergeCell ref="T103:T104"/>
    <mergeCell ref="U103:U104"/>
    <mergeCell ref="X103:X104"/>
    <mergeCell ref="E78:E79"/>
    <mergeCell ref="F78:F79"/>
    <mergeCell ref="G78:I78"/>
    <mergeCell ref="J78:J79"/>
    <mergeCell ref="A78:A79"/>
    <mergeCell ref="B78:B79"/>
    <mergeCell ref="C78:C79"/>
    <mergeCell ref="D78:D79"/>
    <mergeCell ref="O78:O79"/>
    <mergeCell ref="P78:P79"/>
    <mergeCell ref="Q78:Q79"/>
    <mergeCell ref="R78:R79"/>
    <mergeCell ref="K78:K79"/>
    <mergeCell ref="L78:L79"/>
    <mergeCell ref="M78:M79"/>
    <mergeCell ref="N78:N79"/>
    <mergeCell ref="W78:W79"/>
    <mergeCell ref="X78:X79"/>
    <mergeCell ref="Y78:Y79"/>
    <mergeCell ref="Z78:Z79"/>
    <mergeCell ref="S78:S79"/>
    <mergeCell ref="T78:T79"/>
    <mergeCell ref="U78:U79"/>
    <mergeCell ref="V78:V79"/>
    <mergeCell ref="E128:E129"/>
    <mergeCell ref="F128:F129"/>
    <mergeCell ref="G128:I128"/>
    <mergeCell ref="J128:J129"/>
    <mergeCell ref="A128:A129"/>
    <mergeCell ref="B128:B129"/>
    <mergeCell ref="C128:C129"/>
    <mergeCell ref="D128:D129"/>
    <mergeCell ref="O128:O129"/>
    <mergeCell ref="P128:P129"/>
    <mergeCell ref="Q128:Q129"/>
    <mergeCell ref="R128:R129"/>
    <mergeCell ref="K128:K129"/>
    <mergeCell ref="L128:L129"/>
    <mergeCell ref="M128:M129"/>
    <mergeCell ref="N128:N129"/>
    <mergeCell ref="Y128:Y129"/>
    <mergeCell ref="V128:V129"/>
    <mergeCell ref="W128:W129"/>
    <mergeCell ref="Z128:Z129"/>
    <mergeCell ref="S128:S129"/>
    <mergeCell ref="T128:T129"/>
    <mergeCell ref="U128:U129"/>
    <mergeCell ref="X128:X129"/>
    <mergeCell ref="E153:E154"/>
    <mergeCell ref="F153:F154"/>
    <mergeCell ref="G153:I153"/>
    <mergeCell ref="J153:J154"/>
    <mergeCell ref="A153:A154"/>
    <mergeCell ref="B153:B154"/>
    <mergeCell ref="C153:C154"/>
    <mergeCell ref="D153:D154"/>
    <mergeCell ref="O153:O154"/>
    <mergeCell ref="P153:P154"/>
    <mergeCell ref="Q153:Q154"/>
    <mergeCell ref="R153:R154"/>
    <mergeCell ref="K153:K154"/>
    <mergeCell ref="L153:L154"/>
    <mergeCell ref="M153:M154"/>
    <mergeCell ref="N153:N154"/>
    <mergeCell ref="S153:S154"/>
    <mergeCell ref="X153:X154"/>
    <mergeCell ref="Y153:Y154"/>
    <mergeCell ref="Z153:Z154"/>
    <mergeCell ref="T153:T154"/>
    <mergeCell ref="U153:U154"/>
    <mergeCell ref="V153:V154"/>
    <mergeCell ref="W153:W1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J115"/>
  <sheetViews>
    <sheetView tabSelected="1" zoomScaleSheetLayoutView="68" zoomScalePageLayoutView="0" workbookViewId="0" topLeftCell="A30">
      <selection activeCell="R63" sqref="R63"/>
    </sheetView>
  </sheetViews>
  <sheetFormatPr defaultColWidth="9.00390625" defaultRowHeight="12.75"/>
  <cols>
    <col min="1" max="1" width="15.875" style="4" customWidth="1"/>
    <col min="2" max="2" width="8.125" style="4" customWidth="1"/>
    <col min="3" max="3" width="9.00390625" style="4" customWidth="1"/>
    <col min="4" max="4" width="11.125" style="4" customWidth="1"/>
    <col min="5" max="5" width="11.625" style="4" customWidth="1"/>
    <col min="6" max="6" width="12.25390625" style="4" customWidth="1"/>
    <col min="7" max="7" width="3.25390625" style="4" hidden="1" customWidth="1"/>
    <col min="8" max="8" width="10.125" style="4" customWidth="1"/>
    <col min="9" max="9" width="9.75390625" style="4" customWidth="1"/>
    <col min="10" max="10" width="7.875" style="4" customWidth="1"/>
    <col min="12" max="12" width="9.375" style="0" bestFit="1" customWidth="1"/>
  </cols>
  <sheetData>
    <row r="3" ht="1.5" customHeight="1"/>
    <row r="4" ht="24.75" customHeight="1"/>
    <row r="5" ht="12.75" hidden="1"/>
    <row r="6" spans="1:10" ht="18.75">
      <c r="A6" s="165" t="s">
        <v>0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20.25" customHeight="1">
      <c r="A7" s="165" t="s">
        <v>38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8.75">
      <c r="A8" s="165" t="s">
        <v>39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8.75">
      <c r="A9" s="166" t="s">
        <v>40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9.5" thickBot="1">
      <c r="A10" s="163" t="s">
        <v>41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3.5" thickTop="1">
      <c r="A11" s="164" t="s">
        <v>174</v>
      </c>
      <c r="B11" s="164"/>
      <c r="C11" s="164"/>
      <c r="D11" s="164"/>
      <c r="E11" s="164"/>
      <c r="F11" s="164"/>
      <c r="G11" s="164"/>
      <c r="H11" s="164"/>
      <c r="I11" s="164"/>
      <c r="J11" s="164"/>
    </row>
    <row r="12" ht="12.75">
      <c r="A12" s="5"/>
    </row>
    <row r="13" spans="1:10" ht="20.25">
      <c r="A13" s="145" t="s">
        <v>173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8.75">
      <c r="A14" s="147" t="s">
        <v>186</v>
      </c>
      <c r="B14" s="147"/>
      <c r="C14" s="147"/>
      <c r="D14" s="147"/>
      <c r="E14" s="147"/>
      <c r="F14" s="147"/>
      <c r="G14" s="147"/>
      <c r="H14" s="147"/>
      <c r="I14" s="147"/>
      <c r="J14" s="147"/>
    </row>
    <row r="15" spans="1:10" ht="15.75">
      <c r="A15" s="149" t="s">
        <v>31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8.75" customHeight="1">
      <c r="A16" s="170" t="s">
        <v>171</v>
      </c>
      <c r="B16" s="171"/>
      <c r="C16" s="172" t="s">
        <v>172</v>
      </c>
      <c r="D16" s="172"/>
      <c r="E16" s="172"/>
      <c r="F16" s="172"/>
      <c r="G16" s="89"/>
      <c r="H16" s="148">
        <f>I18+I24+I26+I47+I75+I80+I91+I70</f>
        <v>1401500.0976</v>
      </c>
      <c r="I16" s="148"/>
      <c r="J16" s="148"/>
    </row>
    <row r="17" ht="18.75">
      <c r="A17" s="6"/>
    </row>
    <row r="18" spans="1:10" ht="18.75">
      <c r="A18" s="7" t="s">
        <v>45</v>
      </c>
      <c r="B18" s="115" t="str">
        <f>'[1]2013-2.2'!$B$10</f>
        <v>Оплата праці</v>
      </c>
      <c r="C18" s="115"/>
      <c r="D18" s="115"/>
      <c r="E18" s="115"/>
      <c r="F18" s="115"/>
      <c r="G18" s="115"/>
      <c r="H18" s="115"/>
      <c r="I18" s="116">
        <f>J22</f>
        <v>835100.0800000001</v>
      </c>
      <c r="J18" s="116"/>
    </row>
    <row r="19" ht="16.5" thickBot="1">
      <c r="A19" s="8"/>
    </row>
    <row r="20" spans="1:10" ht="12.75" customHeight="1">
      <c r="A20" s="152" t="s">
        <v>3</v>
      </c>
      <c r="B20" s="152" t="s">
        <v>4</v>
      </c>
      <c r="C20" s="150" t="s">
        <v>166</v>
      </c>
      <c r="D20" s="150" t="s">
        <v>181</v>
      </c>
      <c r="E20" s="150" t="s">
        <v>182</v>
      </c>
      <c r="F20" s="150" t="s">
        <v>184</v>
      </c>
      <c r="G20" s="150" t="s">
        <v>180</v>
      </c>
      <c r="H20" s="152" t="s">
        <v>185</v>
      </c>
      <c r="I20" s="154" t="s">
        <v>5</v>
      </c>
      <c r="J20" s="152" t="s">
        <v>6</v>
      </c>
    </row>
    <row r="21" spans="1:10" ht="31.5" customHeight="1" thickBot="1">
      <c r="A21" s="153"/>
      <c r="B21" s="153"/>
      <c r="C21" s="151"/>
      <c r="D21" s="151"/>
      <c r="E21" s="151"/>
      <c r="F21" s="151"/>
      <c r="G21" s="151"/>
      <c r="H21" s="153"/>
      <c r="I21" s="155"/>
      <c r="J21" s="153"/>
    </row>
    <row r="22" spans="1:10" ht="15.75" thickBot="1">
      <c r="A22" s="56" t="e">
        <f>#REF!</f>
        <v>#REF!</v>
      </c>
      <c r="B22" s="56">
        <f>'[3]01.01.18'!$H$48*12</f>
        <v>637980</v>
      </c>
      <c r="C22" s="56">
        <f>'[3]01.01.18'!$N$48*12+42</f>
        <v>14900.159999999998</v>
      </c>
      <c r="D22" s="56">
        <f>'[3]01.01.18'!$I$48*12+2</f>
        <v>33255.32</v>
      </c>
      <c r="E22" s="56">
        <f>'[3]01.01.18'!$L$48*12+1</f>
        <v>79139.8</v>
      </c>
      <c r="F22" s="56">
        <f>'[3]01.01.18'!$M$48*12-1</f>
        <v>16659.800000000003</v>
      </c>
      <c r="G22" s="56"/>
      <c r="H22" s="56"/>
      <c r="I22" s="56">
        <f>'[3]01.01.18'!$H$48</f>
        <v>53165</v>
      </c>
      <c r="J22" s="37">
        <f>SUM(B22:I22)</f>
        <v>835100.0800000001</v>
      </c>
    </row>
    <row r="23" spans="1:8" ht="15.75">
      <c r="A23" s="8"/>
      <c r="F23" s="31"/>
      <c r="H23" s="31"/>
    </row>
    <row r="24" spans="1:10" ht="18.75" customHeight="1">
      <c r="A24" s="33" t="s">
        <v>44</v>
      </c>
      <c r="B24" s="134" t="s">
        <v>43</v>
      </c>
      <c r="C24" s="135"/>
      <c r="D24" s="135"/>
      <c r="E24" s="135"/>
      <c r="F24" s="135"/>
      <c r="G24" s="135"/>
      <c r="H24" s="136"/>
      <c r="I24" s="116">
        <f>J22*0.22-22</f>
        <v>183700.01760000002</v>
      </c>
      <c r="J24" s="116"/>
    </row>
    <row r="25" spans="1:3" ht="12.75">
      <c r="A25" s="18"/>
      <c r="B25" s="19"/>
      <c r="C25" s="20"/>
    </row>
    <row r="26" spans="1:10" ht="18.75">
      <c r="A26" s="7" t="s">
        <v>46</v>
      </c>
      <c r="B26" s="115" t="str">
        <f>'[1]2013-2.2'!$B$13</f>
        <v>Предмети, матеріали, обладнання та інвентар</v>
      </c>
      <c r="C26" s="115"/>
      <c r="D26" s="115"/>
      <c r="E26" s="115"/>
      <c r="F26" s="115"/>
      <c r="G26" s="115"/>
      <c r="H26" s="115"/>
      <c r="I26" s="116">
        <f>SUM(J29:J44)</f>
        <v>204000</v>
      </c>
      <c r="J26" s="116"/>
    </row>
    <row r="27" ht="12.75">
      <c r="A27" s="11"/>
    </row>
    <row r="28" spans="1:10" ht="31.5">
      <c r="A28" s="144" t="s">
        <v>7</v>
      </c>
      <c r="B28" s="144"/>
      <c r="C28" s="144"/>
      <c r="D28" s="144"/>
      <c r="E28" s="144"/>
      <c r="F28" s="144"/>
      <c r="G28" s="34" t="s">
        <v>8</v>
      </c>
      <c r="H28" s="34" t="s">
        <v>59</v>
      </c>
      <c r="I28" s="34" t="s">
        <v>9</v>
      </c>
      <c r="J28" s="34" t="s">
        <v>10</v>
      </c>
    </row>
    <row r="29" spans="1:10" s="38" customFormat="1" ht="15.75">
      <c r="A29" s="118" t="s">
        <v>152</v>
      </c>
      <c r="B29" s="118"/>
      <c r="C29" s="118"/>
      <c r="D29" s="118"/>
      <c r="E29" s="118"/>
      <c r="F29" s="118"/>
      <c r="G29" s="2"/>
      <c r="H29" s="3" t="s">
        <v>13</v>
      </c>
      <c r="I29" s="3" t="s">
        <v>13</v>
      </c>
      <c r="J29" s="9">
        <v>6500</v>
      </c>
    </row>
    <row r="30" spans="1:10" s="38" customFormat="1" ht="33.75" customHeight="1">
      <c r="A30" s="118" t="s">
        <v>145</v>
      </c>
      <c r="B30" s="118"/>
      <c r="C30" s="118"/>
      <c r="D30" s="118"/>
      <c r="E30" s="118"/>
      <c r="F30" s="118"/>
      <c r="G30" s="2"/>
      <c r="H30" s="3" t="s">
        <v>13</v>
      </c>
      <c r="I30" s="3" t="s">
        <v>13</v>
      </c>
      <c r="J30" s="9">
        <v>1500</v>
      </c>
    </row>
    <row r="31" spans="1:10" s="38" customFormat="1" ht="15.75">
      <c r="A31" s="118" t="s">
        <v>146</v>
      </c>
      <c r="B31" s="118"/>
      <c r="C31" s="118"/>
      <c r="D31" s="118"/>
      <c r="E31" s="118"/>
      <c r="F31" s="118"/>
      <c r="G31" s="2"/>
      <c r="H31" s="3">
        <v>70</v>
      </c>
      <c r="I31" s="3">
        <v>70</v>
      </c>
      <c r="J31" s="9">
        <f>H31*I31+100</f>
        <v>5000</v>
      </c>
    </row>
    <row r="32" spans="1:10" s="97" customFormat="1" ht="15.75">
      <c r="A32" s="118" t="s">
        <v>189</v>
      </c>
      <c r="B32" s="118"/>
      <c r="C32" s="118"/>
      <c r="D32" s="118"/>
      <c r="E32" s="118"/>
      <c r="F32" s="118"/>
      <c r="G32" s="2"/>
      <c r="H32" s="3" t="s">
        <v>13</v>
      </c>
      <c r="I32" s="3" t="s">
        <v>13</v>
      </c>
      <c r="J32" s="9">
        <v>5000</v>
      </c>
    </row>
    <row r="33" spans="1:10" s="38" customFormat="1" ht="15.75">
      <c r="A33" s="118" t="s">
        <v>147</v>
      </c>
      <c r="B33" s="118"/>
      <c r="C33" s="118"/>
      <c r="D33" s="118"/>
      <c r="E33" s="118"/>
      <c r="F33" s="118"/>
      <c r="G33" s="2"/>
      <c r="H33" s="3">
        <v>3</v>
      </c>
      <c r="I33" s="3">
        <v>2000</v>
      </c>
      <c r="J33" s="9">
        <f>H33*I33</f>
        <v>6000</v>
      </c>
    </row>
    <row r="34" spans="1:10" s="97" customFormat="1" ht="15.75" hidden="1">
      <c r="A34" s="124" t="s">
        <v>149</v>
      </c>
      <c r="B34" s="124"/>
      <c r="C34" s="124"/>
      <c r="D34" s="124"/>
      <c r="E34" s="124"/>
      <c r="F34" s="124"/>
      <c r="G34" s="94"/>
      <c r="H34" s="95">
        <v>1</v>
      </c>
      <c r="I34" s="95">
        <v>1600</v>
      </c>
      <c r="J34" s="96"/>
    </row>
    <row r="35" spans="1:10" s="97" customFormat="1" ht="15.75" hidden="1">
      <c r="A35" s="124" t="s">
        <v>151</v>
      </c>
      <c r="B35" s="124"/>
      <c r="C35" s="124"/>
      <c r="D35" s="124"/>
      <c r="E35" s="124"/>
      <c r="F35" s="124"/>
      <c r="G35" s="94"/>
      <c r="H35" s="95">
        <v>15</v>
      </c>
      <c r="I35" s="95">
        <v>200</v>
      </c>
      <c r="J35" s="96"/>
    </row>
    <row r="36" spans="1:10" s="97" customFormat="1" ht="15.75" hidden="1">
      <c r="A36" s="124" t="s">
        <v>154</v>
      </c>
      <c r="B36" s="124"/>
      <c r="C36" s="124"/>
      <c r="D36" s="124"/>
      <c r="E36" s="124"/>
      <c r="F36" s="124"/>
      <c r="G36" s="94"/>
      <c r="H36" s="95" t="s">
        <v>13</v>
      </c>
      <c r="I36" s="95" t="s">
        <v>13</v>
      </c>
      <c r="J36" s="96"/>
    </row>
    <row r="37" spans="1:10" s="97" customFormat="1" ht="15.75" hidden="1">
      <c r="A37" s="124" t="s">
        <v>153</v>
      </c>
      <c r="B37" s="124"/>
      <c r="C37" s="124"/>
      <c r="D37" s="124"/>
      <c r="E37" s="124"/>
      <c r="F37" s="124"/>
      <c r="G37" s="94"/>
      <c r="H37" s="95">
        <v>1</v>
      </c>
      <c r="I37" s="95">
        <v>400</v>
      </c>
      <c r="J37" s="96"/>
    </row>
    <row r="38" spans="1:10" s="97" customFormat="1" ht="15.75" hidden="1">
      <c r="A38" s="124" t="s">
        <v>150</v>
      </c>
      <c r="B38" s="124"/>
      <c r="C38" s="124"/>
      <c r="D38" s="124"/>
      <c r="E38" s="124"/>
      <c r="F38" s="124"/>
      <c r="G38" s="94"/>
      <c r="H38" s="95">
        <v>2</v>
      </c>
      <c r="I38" s="95">
        <v>75</v>
      </c>
      <c r="J38" s="96"/>
    </row>
    <row r="39" spans="1:10" s="97" customFormat="1" ht="15.75" hidden="1">
      <c r="A39" s="124" t="s">
        <v>148</v>
      </c>
      <c r="B39" s="124"/>
      <c r="C39" s="124"/>
      <c r="D39" s="124"/>
      <c r="E39" s="124"/>
      <c r="F39" s="124"/>
      <c r="G39" s="94"/>
      <c r="H39" s="95">
        <v>1</v>
      </c>
      <c r="I39" s="95">
        <v>350</v>
      </c>
      <c r="J39" s="96"/>
    </row>
    <row r="40" spans="1:10" s="38" customFormat="1" ht="15.75">
      <c r="A40" s="118" t="s">
        <v>187</v>
      </c>
      <c r="B40" s="118"/>
      <c r="C40" s="118"/>
      <c r="D40" s="118"/>
      <c r="E40" s="118"/>
      <c r="F40" s="118"/>
      <c r="G40" s="2"/>
      <c r="H40" s="3">
        <v>500</v>
      </c>
      <c r="I40" s="3">
        <v>200</v>
      </c>
      <c r="J40" s="9">
        <f>I40*H40</f>
        <v>100000</v>
      </c>
    </row>
    <row r="41" spans="1:10" s="38" customFormat="1" ht="15.75">
      <c r="A41" s="118" t="s">
        <v>188</v>
      </c>
      <c r="B41" s="118"/>
      <c r="C41" s="118"/>
      <c r="D41" s="118"/>
      <c r="E41" s="118"/>
      <c r="F41" s="118"/>
      <c r="G41" s="2"/>
      <c r="H41" s="3">
        <v>500</v>
      </c>
      <c r="I41" s="3">
        <v>150</v>
      </c>
      <c r="J41" s="9">
        <f>I41*H41</f>
        <v>75000</v>
      </c>
    </row>
    <row r="42" spans="1:10" s="38" customFormat="1" ht="33.75" customHeight="1" hidden="1">
      <c r="A42" s="118" t="s">
        <v>175</v>
      </c>
      <c r="B42" s="118"/>
      <c r="C42" s="118"/>
      <c r="D42" s="118"/>
      <c r="E42" s="118"/>
      <c r="F42" s="118"/>
      <c r="G42" s="2"/>
      <c r="H42" s="3"/>
      <c r="I42" s="3">
        <v>135</v>
      </c>
      <c r="J42" s="9">
        <f>I42*H42</f>
        <v>0</v>
      </c>
    </row>
    <row r="43" spans="1:10" s="38" customFormat="1" ht="15.75" hidden="1">
      <c r="A43" s="118" t="s">
        <v>92</v>
      </c>
      <c r="B43" s="118"/>
      <c r="C43" s="118"/>
      <c r="D43" s="118"/>
      <c r="E43" s="118"/>
      <c r="F43" s="118"/>
      <c r="G43" s="2"/>
      <c r="H43" s="3"/>
      <c r="I43" s="3">
        <v>700</v>
      </c>
      <c r="J43" s="9">
        <f>I43*H43</f>
        <v>0</v>
      </c>
    </row>
    <row r="44" spans="1:10" s="79" customFormat="1" ht="36.75" customHeight="1">
      <c r="A44" s="118" t="s">
        <v>155</v>
      </c>
      <c r="B44" s="118"/>
      <c r="C44" s="118"/>
      <c r="D44" s="118"/>
      <c r="E44" s="118"/>
      <c r="F44" s="118"/>
      <c r="G44" s="2"/>
      <c r="H44" s="3" t="s">
        <v>13</v>
      </c>
      <c r="I44" s="3" t="s">
        <v>13</v>
      </c>
      <c r="J44" s="9">
        <v>5000</v>
      </c>
    </row>
    <row r="45" spans="1:10" s="79" customFormat="1" ht="36.75" customHeight="1">
      <c r="A45" s="90"/>
      <c r="B45" s="90"/>
      <c r="C45" s="90"/>
      <c r="D45" s="90"/>
      <c r="E45" s="90"/>
      <c r="F45" s="90"/>
      <c r="G45" s="91"/>
      <c r="H45" s="92"/>
      <c r="I45" s="92"/>
      <c r="J45" s="93"/>
    </row>
    <row r="46" ht="12.75">
      <c r="A46" s="11"/>
    </row>
    <row r="47" spans="1:10" ht="18.75">
      <c r="A47" s="7" t="s">
        <v>47</v>
      </c>
      <c r="B47" s="115" t="str">
        <f>'[1]2013-2.2'!$B$16</f>
        <v>Оплата послуг (крім комунальних) </v>
      </c>
      <c r="C47" s="115"/>
      <c r="D47" s="115"/>
      <c r="E47" s="115"/>
      <c r="F47" s="115"/>
      <c r="G47" s="115"/>
      <c r="H47" s="115"/>
      <c r="I47" s="143">
        <f>SUM(J50:J68)</f>
        <v>105000</v>
      </c>
      <c r="J47" s="143"/>
    </row>
    <row r="48" ht="12.75">
      <c r="A48" s="10"/>
    </row>
    <row r="49" spans="1:10" ht="36" customHeight="1">
      <c r="A49" s="146" t="s">
        <v>7</v>
      </c>
      <c r="B49" s="146"/>
      <c r="C49" s="146"/>
      <c r="D49" s="146"/>
      <c r="E49" s="146"/>
      <c r="F49" s="146"/>
      <c r="G49" s="3" t="s">
        <v>8</v>
      </c>
      <c r="H49" s="3" t="s">
        <v>25</v>
      </c>
      <c r="I49" s="3" t="s">
        <v>9</v>
      </c>
      <c r="J49" s="3" t="s">
        <v>10</v>
      </c>
    </row>
    <row r="50" spans="1:10" s="38" customFormat="1" ht="19.5" customHeight="1">
      <c r="A50" s="118" t="s">
        <v>60</v>
      </c>
      <c r="B50" s="118"/>
      <c r="C50" s="118"/>
      <c r="D50" s="118"/>
      <c r="E50" s="118"/>
      <c r="F50" s="118"/>
      <c r="G50" s="2"/>
      <c r="H50" s="3" t="s">
        <v>13</v>
      </c>
      <c r="I50" s="3" t="s">
        <v>13</v>
      </c>
      <c r="J50" s="9">
        <v>500</v>
      </c>
    </row>
    <row r="51" spans="1:10" s="38" customFormat="1" ht="15.75">
      <c r="A51" s="118" t="s">
        <v>158</v>
      </c>
      <c r="B51" s="118"/>
      <c r="C51" s="118"/>
      <c r="D51" s="118"/>
      <c r="E51" s="118"/>
      <c r="F51" s="118"/>
      <c r="G51" s="2"/>
      <c r="H51" s="3">
        <v>20</v>
      </c>
      <c r="I51" s="3">
        <v>140</v>
      </c>
      <c r="J51" s="9">
        <f>I51*H51</f>
        <v>2800</v>
      </c>
    </row>
    <row r="52" spans="1:10" s="38" customFormat="1" ht="36" customHeight="1">
      <c r="A52" s="118" t="s">
        <v>157</v>
      </c>
      <c r="B52" s="118"/>
      <c r="C52" s="118"/>
      <c r="D52" s="118"/>
      <c r="E52" s="118"/>
      <c r="F52" s="118"/>
      <c r="G52" s="2"/>
      <c r="H52" s="3" t="s">
        <v>13</v>
      </c>
      <c r="I52" s="3" t="s">
        <v>13</v>
      </c>
      <c r="J52" s="9">
        <v>4000</v>
      </c>
    </row>
    <row r="53" spans="1:10" s="38" customFormat="1" ht="15.75">
      <c r="A53" s="118" t="s">
        <v>156</v>
      </c>
      <c r="B53" s="118"/>
      <c r="C53" s="118"/>
      <c r="D53" s="118"/>
      <c r="E53" s="118"/>
      <c r="F53" s="118"/>
      <c r="G53" s="2"/>
      <c r="H53" s="3">
        <v>4</v>
      </c>
      <c r="I53" s="3">
        <f>150/2</f>
        <v>75</v>
      </c>
      <c r="J53" s="9">
        <f>I53*H53</f>
        <v>300</v>
      </c>
    </row>
    <row r="54" spans="1:10" s="38" customFormat="1" ht="19.5" customHeight="1">
      <c r="A54" s="118" t="s">
        <v>95</v>
      </c>
      <c r="B54" s="118"/>
      <c r="C54" s="118"/>
      <c r="D54" s="118"/>
      <c r="E54" s="118"/>
      <c r="F54" s="118"/>
      <c r="G54" s="2"/>
      <c r="H54" s="3">
        <v>12</v>
      </c>
      <c r="I54" s="3">
        <v>150</v>
      </c>
      <c r="J54" s="9">
        <f>I54*H54</f>
        <v>1800</v>
      </c>
    </row>
    <row r="55" spans="1:10" s="38" customFormat="1" ht="19.5" customHeight="1">
      <c r="A55" s="118" t="s">
        <v>159</v>
      </c>
      <c r="B55" s="118"/>
      <c r="C55" s="118"/>
      <c r="D55" s="118"/>
      <c r="E55" s="118"/>
      <c r="F55" s="118"/>
      <c r="G55" s="2"/>
      <c r="H55" s="3">
        <v>12</v>
      </c>
      <c r="I55" s="3">
        <v>370</v>
      </c>
      <c r="J55" s="9">
        <f>I55*H55+10</f>
        <v>4450</v>
      </c>
    </row>
    <row r="56" spans="1:10" s="38" customFormat="1" ht="19.5" customHeight="1">
      <c r="A56" s="118" t="s">
        <v>176</v>
      </c>
      <c r="B56" s="118"/>
      <c r="C56" s="118"/>
      <c r="D56" s="118"/>
      <c r="E56" s="118"/>
      <c r="F56" s="118"/>
      <c r="G56" s="2"/>
      <c r="H56" s="3">
        <v>4</v>
      </c>
      <c r="I56" s="3">
        <v>2500</v>
      </c>
      <c r="J56" s="9">
        <f>I56*H56</f>
        <v>10000</v>
      </c>
    </row>
    <row r="57" spans="1:10" s="38" customFormat="1" ht="35.25" customHeight="1">
      <c r="A57" s="118" t="s">
        <v>160</v>
      </c>
      <c r="B57" s="118"/>
      <c r="C57" s="118"/>
      <c r="D57" s="118"/>
      <c r="E57" s="118"/>
      <c r="F57" s="118"/>
      <c r="G57" s="2"/>
      <c r="H57" s="3" t="s">
        <v>13</v>
      </c>
      <c r="I57" s="3" t="s">
        <v>13</v>
      </c>
      <c r="J57" s="9">
        <v>1500</v>
      </c>
    </row>
    <row r="58" spans="1:10" s="74" customFormat="1" ht="15.75">
      <c r="A58" s="118" t="s">
        <v>163</v>
      </c>
      <c r="B58" s="118"/>
      <c r="C58" s="118"/>
      <c r="D58" s="118"/>
      <c r="E58" s="118"/>
      <c r="F58" s="118"/>
      <c r="G58" s="2"/>
      <c r="H58" s="3">
        <v>12</v>
      </c>
      <c r="I58" s="3">
        <v>35</v>
      </c>
      <c r="J58" s="9">
        <f>I58*H58</f>
        <v>420</v>
      </c>
    </row>
    <row r="59" spans="1:10" s="78" customFormat="1" ht="19.5" customHeight="1">
      <c r="A59" s="114" t="s">
        <v>191</v>
      </c>
      <c r="B59" s="114"/>
      <c r="C59" s="114"/>
      <c r="D59" s="114"/>
      <c r="E59" s="114"/>
      <c r="F59" s="114"/>
      <c r="G59" s="75"/>
      <c r="H59" s="76" t="s">
        <v>13</v>
      </c>
      <c r="I59" s="76" t="s">
        <v>13</v>
      </c>
      <c r="J59" s="77">
        <v>5000</v>
      </c>
    </row>
    <row r="60" spans="1:10" s="78" customFormat="1" ht="19.5" customHeight="1">
      <c r="A60" s="114" t="s">
        <v>190</v>
      </c>
      <c r="B60" s="114"/>
      <c r="C60" s="114"/>
      <c r="D60" s="114"/>
      <c r="E60" s="114"/>
      <c r="F60" s="114"/>
      <c r="G60" s="75"/>
      <c r="H60" s="76">
        <v>12</v>
      </c>
      <c r="I60" s="76">
        <v>1100</v>
      </c>
      <c r="J60" s="77">
        <f>ROUND(I60*H60,0)</f>
        <v>13200</v>
      </c>
    </row>
    <row r="61" spans="1:10" s="78" customFormat="1" ht="19.5" customHeight="1">
      <c r="A61" s="114" t="s">
        <v>164</v>
      </c>
      <c r="B61" s="114"/>
      <c r="C61" s="114"/>
      <c r="D61" s="114"/>
      <c r="E61" s="114"/>
      <c r="F61" s="114"/>
      <c r="G61" s="75"/>
      <c r="H61" s="76">
        <v>12</v>
      </c>
      <c r="I61" s="76">
        <v>85</v>
      </c>
      <c r="J61" s="77">
        <f>ROUND(I61*H61,0)</f>
        <v>1020</v>
      </c>
    </row>
    <row r="62" spans="1:10" s="78" customFormat="1" ht="34.5" customHeight="1">
      <c r="A62" s="121" t="s">
        <v>192</v>
      </c>
      <c r="B62" s="122"/>
      <c r="C62" s="122"/>
      <c r="D62" s="122"/>
      <c r="E62" s="122"/>
      <c r="F62" s="123"/>
      <c r="G62" s="75"/>
      <c r="H62" s="76" t="s">
        <v>13</v>
      </c>
      <c r="I62" s="76" t="s">
        <v>13</v>
      </c>
      <c r="J62" s="77">
        <v>10000</v>
      </c>
    </row>
    <row r="63" spans="1:10" s="78" customFormat="1" ht="34.5" customHeight="1">
      <c r="A63" s="121" t="s">
        <v>193</v>
      </c>
      <c r="B63" s="122"/>
      <c r="C63" s="122"/>
      <c r="D63" s="122"/>
      <c r="E63" s="122"/>
      <c r="F63" s="123"/>
      <c r="G63" s="75"/>
      <c r="H63" s="76" t="s">
        <v>13</v>
      </c>
      <c r="I63" s="76" t="s">
        <v>13</v>
      </c>
      <c r="J63" s="77">
        <v>10000</v>
      </c>
    </row>
    <row r="64" spans="1:10" s="78" customFormat="1" ht="15.75">
      <c r="A64" s="121" t="s">
        <v>194</v>
      </c>
      <c r="B64" s="122"/>
      <c r="C64" s="122"/>
      <c r="D64" s="122"/>
      <c r="E64" s="122"/>
      <c r="F64" s="123"/>
      <c r="G64" s="75"/>
      <c r="H64" s="76" t="s">
        <v>13</v>
      </c>
      <c r="I64" s="76" t="s">
        <v>13</v>
      </c>
      <c r="J64" s="77">
        <v>3000</v>
      </c>
    </row>
    <row r="65" spans="1:10" s="78" customFormat="1" ht="34.5" customHeight="1">
      <c r="A65" s="121" t="s">
        <v>195</v>
      </c>
      <c r="B65" s="122"/>
      <c r="C65" s="122"/>
      <c r="D65" s="122"/>
      <c r="E65" s="122"/>
      <c r="F65" s="123"/>
      <c r="G65" s="75"/>
      <c r="H65" s="76">
        <v>3000</v>
      </c>
      <c r="I65" s="76">
        <v>6</v>
      </c>
      <c r="J65" s="77">
        <f>I65*H65</f>
        <v>18000</v>
      </c>
    </row>
    <row r="66" spans="1:10" s="78" customFormat="1" ht="15.75">
      <c r="A66" s="121" t="s">
        <v>162</v>
      </c>
      <c r="B66" s="122"/>
      <c r="C66" s="122"/>
      <c r="D66" s="122"/>
      <c r="E66" s="122"/>
      <c r="F66" s="123"/>
      <c r="G66" s="75"/>
      <c r="H66" s="76">
        <v>300</v>
      </c>
      <c r="I66" s="76">
        <v>30</v>
      </c>
      <c r="J66" s="77">
        <f>I66*H66</f>
        <v>9000</v>
      </c>
    </row>
    <row r="67" spans="1:10" s="78" customFormat="1" ht="19.5" customHeight="1">
      <c r="A67" s="114" t="s">
        <v>16</v>
      </c>
      <c r="B67" s="114"/>
      <c r="C67" s="114"/>
      <c r="D67" s="114"/>
      <c r="E67" s="114"/>
      <c r="F67" s="114"/>
      <c r="G67" s="75"/>
      <c r="H67" s="76" t="s">
        <v>13</v>
      </c>
      <c r="I67" s="76" t="s">
        <v>13</v>
      </c>
      <c r="J67" s="77">
        <v>10</v>
      </c>
    </row>
    <row r="68" spans="1:10" s="78" customFormat="1" ht="35.25" customHeight="1">
      <c r="A68" s="114" t="s">
        <v>161</v>
      </c>
      <c r="B68" s="114"/>
      <c r="C68" s="114"/>
      <c r="D68" s="114"/>
      <c r="E68" s="114"/>
      <c r="F68" s="114"/>
      <c r="G68" s="75"/>
      <c r="H68" s="76" t="s">
        <v>13</v>
      </c>
      <c r="I68" s="76" t="s">
        <v>13</v>
      </c>
      <c r="J68" s="77">
        <v>10000</v>
      </c>
    </row>
    <row r="69" ht="12.75">
      <c r="A69" s="12"/>
    </row>
    <row r="70" spans="1:10" ht="54.75" customHeight="1">
      <c r="A70" s="7" t="s">
        <v>196</v>
      </c>
      <c r="B70" s="115" t="s">
        <v>197</v>
      </c>
      <c r="C70" s="115"/>
      <c r="D70" s="115"/>
      <c r="E70" s="115"/>
      <c r="F70" s="115"/>
      <c r="G70" s="115"/>
      <c r="H70" s="115"/>
      <c r="I70" s="116">
        <f>SUM(J72:J73)</f>
        <v>1400</v>
      </c>
      <c r="J70" s="116"/>
    </row>
    <row r="71" ht="12.75">
      <c r="A71" s="12"/>
    </row>
    <row r="72" spans="1:10" ht="18.75">
      <c r="A72" s="117" t="s">
        <v>198</v>
      </c>
      <c r="B72" s="117"/>
      <c r="C72" s="117"/>
      <c r="D72" s="117"/>
      <c r="E72" s="117"/>
      <c r="F72" s="117"/>
      <c r="G72" s="3" t="s">
        <v>13</v>
      </c>
      <c r="H72" s="3">
        <v>2</v>
      </c>
      <c r="I72" s="3">
        <v>250</v>
      </c>
      <c r="J72" s="9">
        <f>I72*H72</f>
        <v>500</v>
      </c>
    </row>
    <row r="73" spans="1:10" ht="18.75">
      <c r="A73" s="117" t="s">
        <v>199</v>
      </c>
      <c r="B73" s="117"/>
      <c r="C73" s="117"/>
      <c r="D73" s="117"/>
      <c r="E73" s="117"/>
      <c r="F73" s="117"/>
      <c r="G73" s="3" t="s">
        <v>13</v>
      </c>
      <c r="H73" s="3">
        <v>2</v>
      </c>
      <c r="I73" s="3">
        <v>450</v>
      </c>
      <c r="J73" s="9">
        <f>I73*H73</f>
        <v>900</v>
      </c>
    </row>
    <row r="74" spans="1:10" ht="18.75">
      <c r="A74" s="98"/>
      <c r="B74" s="98"/>
      <c r="C74" s="98"/>
      <c r="D74" s="98"/>
      <c r="E74" s="98"/>
      <c r="F74" s="98"/>
      <c r="G74" s="92"/>
      <c r="H74" s="92"/>
      <c r="I74" s="92"/>
      <c r="J74" s="93"/>
    </row>
    <row r="75" spans="1:10" ht="18.75">
      <c r="A75" s="7" t="s">
        <v>48</v>
      </c>
      <c r="B75" s="115" t="s">
        <v>17</v>
      </c>
      <c r="C75" s="115"/>
      <c r="D75" s="115"/>
      <c r="E75" s="115"/>
      <c r="F75" s="115"/>
      <c r="G75" s="115"/>
      <c r="H75" s="115"/>
      <c r="I75" s="116">
        <f>SUM(J77:J78)</f>
        <v>100</v>
      </c>
      <c r="J75" s="116"/>
    </row>
    <row r="76" ht="12.75">
      <c r="A76" s="12"/>
    </row>
    <row r="77" spans="1:10" ht="18.75">
      <c r="A77" s="117"/>
      <c r="B77" s="117"/>
      <c r="C77" s="117"/>
      <c r="D77" s="117"/>
      <c r="E77" s="117"/>
      <c r="F77" s="117"/>
      <c r="G77" s="3" t="s">
        <v>13</v>
      </c>
      <c r="H77" s="3" t="s">
        <v>13</v>
      </c>
      <c r="I77" s="3" t="s">
        <v>13</v>
      </c>
      <c r="J77" s="9"/>
    </row>
    <row r="78" spans="1:10" ht="18.75">
      <c r="A78" s="117" t="s">
        <v>102</v>
      </c>
      <c r="B78" s="117"/>
      <c r="C78" s="117"/>
      <c r="D78" s="117"/>
      <c r="E78" s="117"/>
      <c r="F78" s="117"/>
      <c r="G78" s="3" t="s">
        <v>13</v>
      </c>
      <c r="H78" s="3" t="s">
        <v>13</v>
      </c>
      <c r="I78" s="3" t="s">
        <v>13</v>
      </c>
      <c r="J78" s="9">
        <v>100</v>
      </c>
    </row>
    <row r="79" ht="12.75">
      <c r="A79" s="12"/>
    </row>
    <row r="80" spans="1:10" ht="18.75">
      <c r="A80" s="7" t="s">
        <v>49</v>
      </c>
      <c r="B80" s="115" t="str">
        <f>'[1]2013-2.2'!$B$17</f>
        <v>Видатки на відрядження</v>
      </c>
      <c r="C80" s="115"/>
      <c r="D80" s="115"/>
      <c r="E80" s="115"/>
      <c r="F80" s="115"/>
      <c r="G80" s="115"/>
      <c r="H80" s="115"/>
      <c r="I80" s="116">
        <f>SUM(J83:J87)</f>
        <v>7000</v>
      </c>
      <c r="J80" s="116"/>
    </row>
    <row r="81" ht="12.75">
      <c r="A81" s="21"/>
    </row>
    <row r="82" spans="1:12" ht="25.5">
      <c r="A82" s="137" t="s">
        <v>18</v>
      </c>
      <c r="B82" s="138"/>
      <c r="C82" s="138"/>
      <c r="D82" s="138"/>
      <c r="E82" s="138"/>
      <c r="F82" s="32" t="s">
        <v>19</v>
      </c>
      <c r="H82" s="32" t="s">
        <v>59</v>
      </c>
      <c r="I82" s="32" t="s">
        <v>9</v>
      </c>
      <c r="J82" s="32" t="s">
        <v>10</v>
      </c>
      <c r="L82" s="99"/>
    </row>
    <row r="83" spans="1:10" ht="15.75">
      <c r="A83" s="119" t="s">
        <v>34</v>
      </c>
      <c r="B83" s="120"/>
      <c r="C83" s="120"/>
      <c r="D83" s="120"/>
      <c r="E83" s="120"/>
      <c r="F83" s="3">
        <v>4</v>
      </c>
      <c r="H83" s="3">
        <v>10</v>
      </c>
      <c r="I83" s="3">
        <v>60</v>
      </c>
      <c r="J83" s="9">
        <f>I83*H83*F83</f>
        <v>2400</v>
      </c>
    </row>
    <row r="84" spans="1:10" ht="15.75">
      <c r="A84" s="119" t="s">
        <v>165</v>
      </c>
      <c r="B84" s="120"/>
      <c r="C84" s="120"/>
      <c r="D84" s="120"/>
      <c r="E84" s="120"/>
      <c r="F84" s="3">
        <v>1</v>
      </c>
      <c r="H84" s="3">
        <v>4</v>
      </c>
      <c r="I84" s="3">
        <v>300</v>
      </c>
      <c r="J84" s="9">
        <f>I84*H84*F84</f>
        <v>1200</v>
      </c>
    </row>
    <row r="85" spans="1:10" ht="15.75">
      <c r="A85" s="119" t="s">
        <v>183</v>
      </c>
      <c r="B85" s="120"/>
      <c r="C85" s="120"/>
      <c r="D85" s="120"/>
      <c r="E85" s="120"/>
      <c r="F85" s="3">
        <v>1</v>
      </c>
      <c r="H85" s="3">
        <v>4</v>
      </c>
      <c r="I85" s="3">
        <v>100</v>
      </c>
      <c r="J85" s="9">
        <f>I85*H85*F85</f>
        <v>400</v>
      </c>
    </row>
    <row r="86" spans="1:10" ht="15.75" customHeight="1">
      <c r="A86" s="119" t="s">
        <v>177</v>
      </c>
      <c r="B86" s="120"/>
      <c r="C86" s="120"/>
      <c r="D86" s="120"/>
      <c r="E86" s="120"/>
      <c r="F86" s="3">
        <v>1</v>
      </c>
      <c r="H86" s="3">
        <v>4</v>
      </c>
      <c r="I86" s="3">
        <v>150</v>
      </c>
      <c r="J86" s="9">
        <f>I86*H86*F86</f>
        <v>600</v>
      </c>
    </row>
    <row r="87" spans="1:10" ht="15.75" customHeight="1">
      <c r="A87" s="119" t="s">
        <v>200</v>
      </c>
      <c r="B87" s="120"/>
      <c r="C87" s="120"/>
      <c r="D87" s="120"/>
      <c r="E87" s="120"/>
      <c r="F87" s="3">
        <v>2</v>
      </c>
      <c r="H87" s="3">
        <v>6</v>
      </c>
      <c r="I87" s="3">
        <v>200</v>
      </c>
      <c r="J87" s="9">
        <f>I87*H87*F87</f>
        <v>2400</v>
      </c>
    </row>
    <row r="88" ht="15.75">
      <c r="A88" s="22"/>
    </row>
    <row r="89" ht="15.75">
      <c r="A89" s="22"/>
    </row>
    <row r="90" ht="15.75">
      <c r="A90" s="22"/>
    </row>
    <row r="91" spans="1:10" ht="18.75">
      <c r="A91" s="7" t="s">
        <v>50</v>
      </c>
      <c r="B91" s="23" t="str">
        <f>'[1]2013-2.2'!$B$18</f>
        <v>Оплата комунальних послуг та енергоносіїв</v>
      </c>
      <c r="C91" s="14"/>
      <c r="D91" s="14"/>
      <c r="E91" s="14"/>
      <c r="F91" s="14"/>
      <c r="G91" s="14"/>
      <c r="H91" s="14"/>
      <c r="I91" s="143">
        <f>I93+I94+I95</f>
        <v>65200</v>
      </c>
      <c r="J91" s="143"/>
    </row>
    <row r="92" ht="15.75">
      <c r="A92" s="13"/>
    </row>
    <row r="93" spans="1:13" ht="18.75">
      <c r="A93" s="7" t="s">
        <v>51</v>
      </c>
      <c r="B93" s="140" t="s">
        <v>26</v>
      </c>
      <c r="C93" s="141"/>
      <c r="D93" s="141"/>
      <c r="E93" s="141"/>
      <c r="F93" s="141"/>
      <c r="G93" s="141"/>
      <c r="H93" s="142"/>
      <c r="I93" s="139">
        <f>D103</f>
        <v>49000</v>
      </c>
      <c r="J93" s="139"/>
      <c r="M93">
        <f>3.796+2.972+2.447+2.448+2.885+2.7821+2.7667+3.0524+2.7667+3.7*3</f>
        <v>37.0159</v>
      </c>
    </row>
    <row r="94" spans="1:16" ht="18.75">
      <c r="A94" s="7" t="s">
        <v>52</v>
      </c>
      <c r="B94" s="140" t="s">
        <v>54</v>
      </c>
      <c r="C94" s="141"/>
      <c r="D94" s="141"/>
      <c r="E94" s="141"/>
      <c r="F94" s="141"/>
      <c r="G94" s="141"/>
      <c r="H94" s="142"/>
      <c r="I94" s="139">
        <f>F103+H103</f>
        <v>1100</v>
      </c>
      <c r="J94" s="139"/>
      <c r="P94">
        <f>11/3.5</f>
        <v>3.142857142857143</v>
      </c>
    </row>
    <row r="95" spans="1:16" ht="18.75">
      <c r="A95" s="7" t="s">
        <v>53</v>
      </c>
      <c r="B95" s="140" t="s">
        <v>27</v>
      </c>
      <c r="C95" s="141"/>
      <c r="D95" s="141"/>
      <c r="E95" s="141"/>
      <c r="F95" s="141"/>
      <c r="G95" s="141"/>
      <c r="H95" s="142"/>
      <c r="I95" s="139">
        <f>I103</f>
        <v>15100</v>
      </c>
      <c r="J95" s="139"/>
      <c r="M95">
        <f>3.8*12</f>
        <v>45.599999999999994</v>
      </c>
      <c r="P95">
        <f>P94*6</f>
        <v>18.857142857142858</v>
      </c>
    </row>
    <row r="96" ht="18.75">
      <c r="A96" s="24"/>
    </row>
    <row r="97" spans="1:13" s="1" customFormat="1" ht="37.5" customHeight="1">
      <c r="A97" s="156" t="s">
        <v>20</v>
      </c>
      <c r="B97" s="157"/>
      <c r="C97" s="158"/>
      <c r="D97" s="131" t="s">
        <v>55</v>
      </c>
      <c r="E97" s="131"/>
      <c r="F97" s="131" t="s">
        <v>110</v>
      </c>
      <c r="G97" s="131"/>
      <c r="H97" s="131"/>
      <c r="I97" s="133" t="s">
        <v>56</v>
      </c>
      <c r="M97" s="1">
        <f>(3557.39*1.2+5851.04+6925.32+1883.47+7000+6000+3000)/1698.26</f>
        <v>20.56734422291051</v>
      </c>
    </row>
    <row r="98" spans="1:9" s="1" customFormat="1" ht="25.5">
      <c r="A98" s="159"/>
      <c r="B98" s="160"/>
      <c r="C98" s="161"/>
      <c r="D98" s="16" t="s">
        <v>36</v>
      </c>
      <c r="E98" s="16" t="s">
        <v>22</v>
      </c>
      <c r="F98" s="131" t="s">
        <v>23</v>
      </c>
      <c r="G98" s="131"/>
      <c r="H98" s="16" t="s">
        <v>24</v>
      </c>
      <c r="I98" s="133"/>
    </row>
    <row r="99" spans="1:14" s="1" customFormat="1" ht="15.75">
      <c r="A99" s="162" t="s">
        <v>201</v>
      </c>
      <c r="B99" s="162"/>
      <c r="C99" s="162"/>
      <c r="D99" s="25">
        <v>19</v>
      </c>
      <c r="E99" s="25"/>
      <c r="F99" s="132">
        <v>45</v>
      </c>
      <c r="G99" s="132"/>
      <c r="H99" s="25">
        <v>45</v>
      </c>
      <c r="I99" s="25">
        <v>5500</v>
      </c>
      <c r="N99" s="1">
        <v>2.42982</v>
      </c>
    </row>
    <row r="100" spans="1:16" s="1" customFormat="1" ht="33" customHeight="1">
      <c r="A100" s="162" t="s">
        <v>202</v>
      </c>
      <c r="B100" s="162"/>
      <c r="C100" s="162"/>
      <c r="D100" s="25">
        <v>2182.66</v>
      </c>
      <c r="E100" s="25"/>
      <c r="F100" s="132">
        <f>8.19*1.2</f>
        <v>9.828</v>
      </c>
      <c r="G100" s="132"/>
      <c r="H100" s="25">
        <f>7.01*1.2</f>
        <v>8.411999999999999</v>
      </c>
      <c r="I100" s="25">
        <v>2.43</v>
      </c>
      <c r="P100" s="1">
        <f>11/3.5</f>
        <v>3.142857142857143</v>
      </c>
    </row>
    <row r="101" spans="1:16" s="27" customFormat="1" ht="72.75" customHeight="1">
      <c r="A101" s="125" t="s">
        <v>203</v>
      </c>
      <c r="B101" s="125"/>
      <c r="C101" s="125"/>
      <c r="D101" s="25">
        <f>ROUND(D100*1.09,2)</f>
        <v>2379.1</v>
      </c>
      <c r="E101" s="26"/>
      <c r="F101" s="132">
        <f>ROUND(F100*1.09,2)</f>
        <v>10.71</v>
      </c>
      <c r="G101" s="132">
        <f>ROUND(G100*1.1016,2)</f>
        <v>0</v>
      </c>
      <c r="H101" s="25">
        <f>ROUND(H100*1.09,2)</f>
        <v>9.17</v>
      </c>
      <c r="I101" s="25">
        <f>ROUND(I100*1.1,2)</f>
        <v>2.67</v>
      </c>
      <c r="M101" s="27">
        <f>504.44+560.5+318.86+498.21+402+312.25+287+280.24+332.49+600*3</f>
        <v>5295.99</v>
      </c>
      <c r="P101" s="27">
        <f>P100*6</f>
        <v>18.857142857142858</v>
      </c>
    </row>
    <row r="102" spans="1:9" s="27" customFormat="1" ht="48" customHeight="1">
      <c r="A102" s="127" t="s">
        <v>204</v>
      </c>
      <c r="B102" s="128"/>
      <c r="C102" s="129"/>
      <c r="D102" s="25">
        <f>D101*1.09</f>
        <v>2593.219</v>
      </c>
      <c r="E102" s="26"/>
      <c r="F102" s="73">
        <f>F101*1.2</f>
        <v>12.852</v>
      </c>
      <c r="G102" s="73"/>
      <c r="H102" s="25">
        <f>H101*1.2</f>
        <v>11.004</v>
      </c>
      <c r="I102" s="25">
        <f>ROUND((I99*0.024)*I101/10,0)*10</f>
        <v>350</v>
      </c>
    </row>
    <row r="103" spans="1:9" s="28" customFormat="1" ht="15.75">
      <c r="A103" s="126" t="s">
        <v>21</v>
      </c>
      <c r="B103" s="126"/>
      <c r="C103" s="126"/>
      <c r="D103" s="29">
        <f>ROUND(ROUNDUP(D99*D102,0)/10,0)*10-270</f>
        <v>49000</v>
      </c>
      <c r="E103" s="29">
        <f>ROUNDUP(ROUNDUP(E99*E101,0)/10,0)*10</f>
        <v>0</v>
      </c>
      <c r="F103" s="130">
        <f>ROUNDUP(ROUNDUP(F99*F102,0)/10,0)*10+20</f>
        <v>600</v>
      </c>
      <c r="G103" s="130"/>
      <c r="H103" s="100">
        <f>ROUNDUP(ROUNDUP(H99*H102,0)/10,0)*10</f>
        <v>500</v>
      </c>
      <c r="I103" s="100">
        <f>ROUNDUP(ROUNDUP(I99*I101,0)/10,0)*10+I102+60</f>
        <v>15100</v>
      </c>
    </row>
    <row r="104" ht="48" customHeight="1">
      <c r="A104" s="21"/>
    </row>
    <row r="105" spans="1:8" ht="18.75">
      <c r="A105" s="15" t="s">
        <v>105</v>
      </c>
      <c r="H105" s="15" t="s">
        <v>178</v>
      </c>
    </row>
    <row r="106" ht="34.5" customHeight="1">
      <c r="A106" s="15"/>
    </row>
    <row r="107" spans="1:8" ht="18.75">
      <c r="A107" s="15" t="s">
        <v>28</v>
      </c>
      <c r="H107" s="15" t="s">
        <v>179</v>
      </c>
    </row>
    <row r="110" spans="1:36" s="82" customFormat="1" ht="15.75">
      <c r="A110" s="80" t="s">
        <v>167</v>
      </c>
      <c r="B110" s="81"/>
      <c r="C110" s="81"/>
      <c r="E110" s="83"/>
      <c r="F110" s="83"/>
      <c r="G110" s="84"/>
      <c r="H110" s="85"/>
      <c r="I110" s="84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</row>
    <row r="111" spans="1:9" s="82" customFormat="1" ht="65.25" customHeight="1">
      <c r="A111" s="169" t="s">
        <v>170</v>
      </c>
      <c r="B111" s="169"/>
      <c r="C111" s="169"/>
      <c r="G111" s="87"/>
      <c r="I111" s="87"/>
    </row>
    <row r="112" spans="1:9" s="82" customFormat="1" ht="29.25" customHeight="1">
      <c r="A112" s="167"/>
      <c r="B112" s="167"/>
      <c r="C112" s="168" t="s">
        <v>168</v>
      </c>
      <c r="D112" s="168"/>
      <c r="E112" s="168"/>
      <c r="F112" s="168"/>
      <c r="G112" s="87"/>
      <c r="I112" s="87"/>
    </row>
    <row r="113" spans="1:9" s="82" customFormat="1" ht="15.75">
      <c r="A113" s="88"/>
      <c r="B113" s="86"/>
      <c r="C113" s="87"/>
      <c r="E113" s="88"/>
      <c r="F113" s="88"/>
      <c r="G113" s="87"/>
      <c r="I113" s="87"/>
    </row>
    <row r="114" spans="1:9" s="82" customFormat="1" ht="12.75">
      <c r="A114" s="82" t="s">
        <v>169</v>
      </c>
      <c r="B114" s="87"/>
      <c r="C114" s="87"/>
      <c r="G114" s="87"/>
      <c r="I114" s="87"/>
    </row>
    <row r="115" spans="2:9" s="82" customFormat="1" ht="12.75">
      <c r="B115" s="87"/>
      <c r="C115" s="87"/>
      <c r="G115" s="87"/>
      <c r="I115" s="87"/>
    </row>
  </sheetData>
  <sheetProtection/>
  <mergeCells count="108">
    <mergeCell ref="H20:H21"/>
    <mergeCell ref="A16:B16"/>
    <mergeCell ref="C16:F16"/>
    <mergeCell ref="D97:E97"/>
    <mergeCell ref="A6:J6"/>
    <mergeCell ref="A7:J7"/>
    <mergeCell ref="A8:J8"/>
    <mergeCell ref="A9:J9"/>
    <mergeCell ref="A112:B112"/>
    <mergeCell ref="C112:D112"/>
    <mergeCell ref="E112:F112"/>
    <mergeCell ref="A111:C111"/>
    <mergeCell ref="G20:G21"/>
    <mergeCell ref="A10:J10"/>
    <mergeCell ref="A11:J11"/>
    <mergeCell ref="I47:J47"/>
    <mergeCell ref="B47:H47"/>
    <mergeCell ref="A42:F42"/>
    <mergeCell ref="I24:J24"/>
    <mergeCell ref="I26:J26"/>
    <mergeCell ref="A39:F39"/>
    <mergeCell ref="A44:F44"/>
    <mergeCell ref="A41:F41"/>
    <mergeCell ref="A34:F34"/>
    <mergeCell ref="B26:H26"/>
    <mergeCell ref="J20:J21"/>
    <mergeCell ref="I20:I21"/>
    <mergeCell ref="B18:H18"/>
    <mergeCell ref="A97:C98"/>
    <mergeCell ref="F97:H97"/>
    <mergeCell ref="A51:F51"/>
    <mergeCell ref="A54:F54"/>
    <mergeCell ref="A40:F40"/>
    <mergeCell ref="B20:B21"/>
    <mergeCell ref="C20:C21"/>
    <mergeCell ref="A30:F30"/>
    <mergeCell ref="D20:D21"/>
    <mergeCell ref="E20:E21"/>
    <mergeCell ref="A33:F33"/>
    <mergeCell ref="A28:F28"/>
    <mergeCell ref="A13:J13"/>
    <mergeCell ref="A49:F49"/>
    <mergeCell ref="A50:F50"/>
    <mergeCell ref="A14:J14"/>
    <mergeCell ref="H16:J16"/>
    <mergeCell ref="A15:J15"/>
    <mergeCell ref="I18:J18"/>
    <mergeCell ref="F20:F21"/>
    <mergeCell ref="A20:A21"/>
    <mergeCell ref="I91:J91"/>
    <mergeCell ref="I75:J75"/>
    <mergeCell ref="B75:H75"/>
    <mergeCell ref="A78:F78"/>
    <mergeCell ref="I80:J80"/>
    <mergeCell ref="B80:H80"/>
    <mergeCell ref="I94:J94"/>
    <mergeCell ref="I95:J95"/>
    <mergeCell ref="B94:H94"/>
    <mergeCell ref="B95:H95"/>
    <mergeCell ref="I93:J93"/>
    <mergeCell ref="B93:H93"/>
    <mergeCell ref="I97:I98"/>
    <mergeCell ref="B24:H24"/>
    <mergeCell ref="A82:E82"/>
    <mergeCell ref="A83:E83"/>
    <mergeCell ref="A86:E86"/>
    <mergeCell ref="A43:F43"/>
    <mergeCell ref="A66:F66"/>
    <mergeCell ref="A31:F31"/>
    <mergeCell ref="A29:F29"/>
    <mergeCell ref="A32:F32"/>
    <mergeCell ref="A102:C102"/>
    <mergeCell ref="F103:G103"/>
    <mergeCell ref="F98:G98"/>
    <mergeCell ref="F99:G99"/>
    <mergeCell ref="F100:G100"/>
    <mergeCell ref="F101:G101"/>
    <mergeCell ref="A99:C99"/>
    <mergeCell ref="A100:C100"/>
    <mergeCell ref="A38:F38"/>
    <mergeCell ref="A35:F35"/>
    <mergeCell ref="A36:F36"/>
    <mergeCell ref="A37:F37"/>
    <mergeCell ref="A101:C101"/>
    <mergeCell ref="A103:C103"/>
    <mergeCell ref="A67:F67"/>
    <mergeCell ref="A68:F68"/>
    <mergeCell ref="A73:F73"/>
    <mergeCell ref="A87:E87"/>
    <mergeCell ref="A85:E85"/>
    <mergeCell ref="A84:E84"/>
    <mergeCell ref="A59:F59"/>
    <mergeCell ref="A58:F58"/>
    <mergeCell ref="A64:F64"/>
    <mergeCell ref="A62:F62"/>
    <mergeCell ref="A61:F61"/>
    <mergeCell ref="A65:F65"/>
    <mergeCell ref="A77:F77"/>
    <mergeCell ref="A63:F63"/>
    <mergeCell ref="A60:F60"/>
    <mergeCell ref="B70:H70"/>
    <mergeCell ref="I70:J70"/>
    <mergeCell ref="A72:F72"/>
    <mergeCell ref="A53:F53"/>
    <mergeCell ref="A52:F52"/>
    <mergeCell ref="A55:F55"/>
    <mergeCell ref="A57:F57"/>
    <mergeCell ref="A56:F56"/>
  </mergeCells>
  <printOptions/>
  <pageMargins left="0.67" right="0.21" top="0.21" bottom="0.41" header="0.23" footer="0.23"/>
  <pageSetup fitToHeight="10" horizontalDpi="600" verticalDpi="600" orientation="portrait" paperSize="9" r:id="rId2"/>
  <rowBreaks count="2" manualBreakCount="2">
    <brk id="44" max="19" man="1"/>
    <brk id="88" max="1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83"/>
  <sheetViews>
    <sheetView view="pageBreakPreview" zoomScaleSheetLayoutView="100" zoomScalePageLayoutView="0" workbookViewId="0" topLeftCell="A19">
      <selection activeCell="K26" sqref="K26"/>
    </sheetView>
  </sheetViews>
  <sheetFormatPr defaultColWidth="9.00390625" defaultRowHeight="12.75"/>
  <cols>
    <col min="1" max="1" width="15.875" style="4" customWidth="1"/>
    <col min="2" max="2" width="8.125" style="4" customWidth="1"/>
    <col min="3" max="3" width="9.00390625" style="4" customWidth="1"/>
    <col min="4" max="4" width="11.125" style="4" customWidth="1"/>
    <col min="5" max="5" width="11.625" style="4" customWidth="1"/>
    <col min="6" max="6" width="9.875" style="4" customWidth="1"/>
    <col min="7" max="7" width="3.25390625" style="4" hidden="1" customWidth="1"/>
    <col min="8" max="8" width="8.75390625" style="4" customWidth="1"/>
    <col min="9" max="9" width="9.75390625" style="4" customWidth="1"/>
    <col min="10" max="10" width="7.875" style="4" customWidth="1"/>
  </cols>
  <sheetData>
    <row r="3" ht="1.5" customHeight="1"/>
    <row r="4" ht="24.75" customHeight="1"/>
    <row r="5" ht="12.75" hidden="1"/>
    <row r="6" spans="1:10" ht="18.75">
      <c r="A6" s="165" t="s">
        <v>0</v>
      </c>
      <c r="B6" s="165"/>
      <c r="C6" s="165"/>
      <c r="D6" s="165"/>
      <c r="E6" s="165"/>
      <c r="F6" s="165"/>
      <c r="G6" s="165"/>
      <c r="H6" s="165"/>
      <c r="I6" s="165"/>
      <c r="J6" s="165"/>
    </row>
    <row r="7" spans="1:10" ht="20.25" customHeight="1">
      <c r="A7" s="165" t="s">
        <v>38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8.75">
      <c r="A8" s="165" t="s">
        <v>39</v>
      </c>
      <c r="B8" s="165"/>
      <c r="C8" s="165"/>
      <c r="D8" s="165"/>
      <c r="E8" s="165"/>
      <c r="F8" s="165"/>
      <c r="G8" s="165"/>
      <c r="H8" s="165"/>
      <c r="I8" s="165"/>
      <c r="J8" s="165"/>
    </row>
    <row r="9" spans="1:10" ht="18.75">
      <c r="A9" s="166" t="s">
        <v>40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9.5" thickBot="1">
      <c r="A10" s="163" t="s">
        <v>41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 ht="13.5" thickTop="1">
      <c r="A11" s="164" t="s">
        <v>42</v>
      </c>
      <c r="B11" s="164"/>
      <c r="C11" s="164"/>
      <c r="D11" s="164"/>
      <c r="E11" s="164"/>
      <c r="F11" s="164"/>
      <c r="G11" s="164"/>
      <c r="H11" s="164"/>
      <c r="I11" s="164"/>
      <c r="J11" s="164"/>
    </row>
    <row r="12" ht="26.25" customHeight="1">
      <c r="A12" s="5"/>
    </row>
    <row r="13" spans="1:10" ht="20.25">
      <c r="A13" s="145" t="s">
        <v>1</v>
      </c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24.75" customHeight="1">
      <c r="A14" s="183" t="s">
        <v>107</v>
      </c>
      <c r="B14" s="183"/>
      <c r="C14" s="183"/>
      <c r="D14" s="183"/>
      <c r="E14" s="183"/>
      <c r="F14" s="183"/>
      <c r="G14" s="183"/>
      <c r="H14" s="183"/>
      <c r="I14" s="183"/>
      <c r="J14" s="183"/>
    </row>
    <row r="15" spans="1:10" ht="31.5" customHeight="1">
      <c r="A15" s="149" t="s">
        <v>31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8.75" customHeight="1">
      <c r="A16" s="17" t="s">
        <v>30</v>
      </c>
      <c r="B16" s="115" t="s">
        <v>35</v>
      </c>
      <c r="C16" s="115"/>
      <c r="D16" s="115"/>
      <c r="E16" s="115"/>
      <c r="F16" s="115"/>
      <c r="G16" s="115"/>
      <c r="H16" s="184" t="e">
        <f>I18+I24+I26+I37+I56+I62+I68</f>
        <v>#REF!</v>
      </c>
      <c r="I16" s="185"/>
      <c r="J16" s="185"/>
    </row>
    <row r="17" ht="25.5" customHeight="1">
      <c r="A17" s="6"/>
    </row>
    <row r="18" spans="1:10" ht="18.75">
      <c r="A18" s="7" t="s">
        <v>45</v>
      </c>
      <c r="B18" s="115" t="str">
        <f>'[1]2013-2.2'!$B$10</f>
        <v>Оплата праці</v>
      </c>
      <c r="C18" s="115"/>
      <c r="D18" s="115"/>
      <c r="E18" s="115"/>
      <c r="F18" s="115"/>
      <c r="G18" s="115"/>
      <c r="H18" s="115"/>
      <c r="I18" s="116" t="e">
        <f>#REF!+3000-500</f>
        <v>#REF!</v>
      </c>
      <c r="J18" s="116"/>
    </row>
    <row r="19" ht="23.25" customHeight="1" thickBot="1">
      <c r="A19" s="8"/>
    </row>
    <row r="20" spans="1:10" ht="12.75" customHeight="1">
      <c r="A20" s="152" t="s">
        <v>2</v>
      </c>
      <c r="B20" s="152" t="s">
        <v>3</v>
      </c>
      <c r="C20" s="152" t="s">
        <v>4</v>
      </c>
      <c r="D20" s="152" t="s">
        <v>89</v>
      </c>
      <c r="E20" s="152" t="s">
        <v>5</v>
      </c>
      <c r="F20" s="150" t="s">
        <v>123</v>
      </c>
      <c r="G20" s="176"/>
      <c r="H20" s="150" t="s">
        <v>90</v>
      </c>
      <c r="I20" s="176"/>
      <c r="J20" s="152" t="s">
        <v>6</v>
      </c>
    </row>
    <row r="21" spans="1:10" ht="32.25" customHeight="1" thickBot="1">
      <c r="A21" s="153"/>
      <c r="B21" s="153"/>
      <c r="C21" s="153"/>
      <c r="D21" s="153"/>
      <c r="E21" s="153"/>
      <c r="F21" s="151"/>
      <c r="G21" s="177"/>
      <c r="H21" s="151"/>
      <c r="I21" s="177"/>
      <c r="J21" s="153"/>
    </row>
    <row r="22" spans="1:10" ht="33.75" customHeight="1" thickBot="1">
      <c r="A22" s="35"/>
      <c r="B22" s="36" t="e">
        <f>#REF!</f>
        <v>#REF!</v>
      </c>
      <c r="C22" s="37" t="e">
        <f>#REF!</f>
        <v>#REF!</v>
      </c>
      <c r="D22" s="37" t="e">
        <f>#REF!</f>
        <v>#REF!</v>
      </c>
      <c r="E22" s="56" t="e">
        <f>#REF!+2500</f>
        <v>#REF!</v>
      </c>
      <c r="F22" s="178" t="e">
        <f>#REF!</f>
        <v>#REF!</v>
      </c>
      <c r="G22" s="179"/>
      <c r="H22" s="178" t="e">
        <f>#REF!</f>
        <v>#REF!</v>
      </c>
      <c r="I22" s="179"/>
      <c r="J22" s="37" t="e">
        <f>SUM(C22:I22)</f>
        <v>#REF!</v>
      </c>
    </row>
    <row r="23" spans="1:8" ht="22.5" customHeight="1">
      <c r="A23" s="8"/>
      <c r="F23" s="31"/>
      <c r="H23" s="31"/>
    </row>
    <row r="24" spans="1:10" ht="18.75" customHeight="1">
      <c r="A24" s="33" t="s">
        <v>44</v>
      </c>
      <c r="B24" s="134" t="s">
        <v>43</v>
      </c>
      <c r="C24" s="135"/>
      <c r="D24" s="135"/>
      <c r="E24" s="135"/>
      <c r="F24" s="135"/>
      <c r="G24" s="135"/>
      <c r="H24" s="136"/>
      <c r="I24" s="116" t="e">
        <f>#REF!</f>
        <v>#REF!</v>
      </c>
      <c r="J24" s="116"/>
    </row>
    <row r="25" spans="1:3" ht="21.75" customHeight="1">
      <c r="A25" s="18"/>
      <c r="B25" s="19"/>
      <c r="C25" s="20"/>
    </row>
    <row r="26" spans="1:10" ht="40.5" customHeight="1">
      <c r="A26" s="7" t="s">
        <v>46</v>
      </c>
      <c r="B26" s="115" t="str">
        <f>'[1]2013-2.2'!$B$13</f>
        <v>Предмети, матеріали, обладнання та інвентар</v>
      </c>
      <c r="C26" s="115"/>
      <c r="D26" s="115"/>
      <c r="E26" s="115"/>
      <c r="F26" s="115"/>
      <c r="G26" s="115"/>
      <c r="H26" s="115"/>
      <c r="I26" s="116">
        <f>SUM(J29:J35)</f>
        <v>250000</v>
      </c>
      <c r="J26" s="116"/>
    </row>
    <row r="27" ht="21.75" customHeight="1">
      <c r="A27" s="11"/>
    </row>
    <row r="28" spans="1:10" ht="31.5">
      <c r="A28" s="144" t="s">
        <v>7</v>
      </c>
      <c r="B28" s="144"/>
      <c r="C28" s="144"/>
      <c r="D28" s="144"/>
      <c r="E28" s="144"/>
      <c r="F28" s="144"/>
      <c r="G28" s="34" t="s">
        <v>8</v>
      </c>
      <c r="H28" s="34" t="s">
        <v>25</v>
      </c>
      <c r="I28" s="34" t="s">
        <v>9</v>
      </c>
      <c r="J28" s="34" t="s">
        <v>10</v>
      </c>
    </row>
    <row r="29" spans="1:10" ht="22.5" customHeight="1">
      <c r="A29" s="118" t="s">
        <v>57</v>
      </c>
      <c r="B29" s="118"/>
      <c r="C29" s="118"/>
      <c r="D29" s="118"/>
      <c r="E29" s="118"/>
      <c r="F29" s="118"/>
      <c r="G29" s="2"/>
      <c r="H29" s="3" t="s">
        <v>13</v>
      </c>
      <c r="I29" s="3" t="s">
        <v>13</v>
      </c>
      <c r="J29" s="9">
        <v>8500</v>
      </c>
    </row>
    <row r="30" spans="1:10" ht="21" customHeight="1">
      <c r="A30" s="118" t="s">
        <v>12</v>
      </c>
      <c r="B30" s="118"/>
      <c r="C30" s="118"/>
      <c r="D30" s="118"/>
      <c r="E30" s="118"/>
      <c r="F30" s="118"/>
      <c r="G30" s="2"/>
      <c r="H30" s="3">
        <v>100</v>
      </c>
      <c r="I30" s="3">
        <v>50</v>
      </c>
      <c r="J30" s="9">
        <f aca="true" t="shared" si="0" ref="J30:J35">I30*H30</f>
        <v>5000</v>
      </c>
    </row>
    <row r="31" spans="1:10" ht="26.25" customHeight="1">
      <c r="A31" s="118" t="s">
        <v>91</v>
      </c>
      <c r="B31" s="118"/>
      <c r="C31" s="118"/>
      <c r="D31" s="118"/>
      <c r="E31" s="118"/>
      <c r="F31" s="118"/>
      <c r="G31" s="2"/>
      <c r="H31" s="3">
        <v>500</v>
      </c>
      <c r="I31" s="3">
        <v>150</v>
      </c>
      <c r="J31" s="9">
        <f t="shared" si="0"/>
        <v>75000</v>
      </c>
    </row>
    <row r="32" spans="1:10" ht="33.75" customHeight="1">
      <c r="A32" s="118" t="s">
        <v>93</v>
      </c>
      <c r="B32" s="118"/>
      <c r="C32" s="118"/>
      <c r="D32" s="118"/>
      <c r="E32" s="118"/>
      <c r="F32" s="118"/>
      <c r="G32" s="2"/>
      <c r="H32" s="3">
        <v>500</v>
      </c>
      <c r="I32" s="3">
        <v>150</v>
      </c>
      <c r="J32" s="9">
        <f t="shared" si="0"/>
        <v>75000</v>
      </c>
    </row>
    <row r="33" spans="1:10" ht="33.75" customHeight="1">
      <c r="A33" s="118" t="s">
        <v>94</v>
      </c>
      <c r="B33" s="118"/>
      <c r="C33" s="118"/>
      <c r="D33" s="118"/>
      <c r="E33" s="118"/>
      <c r="F33" s="118"/>
      <c r="G33" s="2"/>
      <c r="H33" s="3">
        <v>500</v>
      </c>
      <c r="I33" s="3">
        <v>150</v>
      </c>
      <c r="J33" s="9">
        <f t="shared" si="0"/>
        <v>75000</v>
      </c>
    </row>
    <row r="34" spans="1:10" ht="29.25" customHeight="1">
      <c r="A34" s="118" t="s">
        <v>92</v>
      </c>
      <c r="B34" s="118"/>
      <c r="C34" s="118"/>
      <c r="D34" s="118"/>
      <c r="E34" s="118"/>
      <c r="F34" s="118"/>
      <c r="G34" s="2"/>
      <c r="H34" s="3">
        <v>13</v>
      </c>
      <c r="I34" s="3">
        <v>500</v>
      </c>
      <c r="J34" s="9">
        <f t="shared" si="0"/>
        <v>6500</v>
      </c>
    </row>
    <row r="35" spans="1:10" ht="27.75" customHeight="1">
      <c r="A35" s="118" t="s">
        <v>11</v>
      </c>
      <c r="B35" s="118"/>
      <c r="C35" s="118"/>
      <c r="D35" s="118"/>
      <c r="E35" s="118"/>
      <c r="F35" s="118"/>
      <c r="G35" s="2"/>
      <c r="H35" s="3">
        <v>5000</v>
      </c>
      <c r="I35" s="3">
        <v>1</v>
      </c>
      <c r="J35" s="9">
        <f t="shared" si="0"/>
        <v>5000</v>
      </c>
    </row>
    <row r="36" ht="12.75">
      <c r="A36" s="11"/>
    </row>
    <row r="37" spans="1:10" ht="18.75">
      <c r="A37" s="7" t="s">
        <v>47</v>
      </c>
      <c r="B37" s="115" t="str">
        <f>'[1]2013-2.2'!$B$16</f>
        <v>Оплата послуг (крім комунальних) </v>
      </c>
      <c r="C37" s="115"/>
      <c r="D37" s="115"/>
      <c r="E37" s="115"/>
      <c r="F37" s="115"/>
      <c r="G37" s="115"/>
      <c r="H37" s="115"/>
      <c r="I37" s="181">
        <f>SUM(J40:J54)</f>
        <v>120000</v>
      </c>
      <c r="J37" s="181"/>
    </row>
    <row r="38" ht="12.75">
      <c r="A38" s="10"/>
    </row>
    <row r="39" spans="1:10" ht="36" customHeight="1">
      <c r="A39" s="146" t="s">
        <v>7</v>
      </c>
      <c r="B39" s="146"/>
      <c r="C39" s="146"/>
      <c r="D39" s="146"/>
      <c r="E39" s="146"/>
      <c r="F39" s="146"/>
      <c r="G39" s="3" t="s">
        <v>8</v>
      </c>
      <c r="H39" s="3" t="s">
        <v>25</v>
      </c>
      <c r="I39" s="3" t="s">
        <v>9</v>
      </c>
      <c r="J39" s="3" t="s">
        <v>10</v>
      </c>
    </row>
    <row r="40" spans="1:10" ht="19.5" customHeight="1">
      <c r="A40" s="118" t="s">
        <v>60</v>
      </c>
      <c r="B40" s="118"/>
      <c r="C40" s="118"/>
      <c r="D40" s="118"/>
      <c r="E40" s="118"/>
      <c r="F40" s="118"/>
      <c r="G40" s="2"/>
      <c r="H40" s="3" t="s">
        <v>13</v>
      </c>
      <c r="I40" s="3" t="s">
        <v>13</v>
      </c>
      <c r="J40" s="9">
        <v>810</v>
      </c>
    </row>
    <row r="41" spans="1:10" ht="19.5" customHeight="1">
      <c r="A41" s="118" t="s">
        <v>14</v>
      </c>
      <c r="B41" s="118"/>
      <c r="C41" s="118"/>
      <c r="D41" s="118"/>
      <c r="E41" s="118"/>
      <c r="F41" s="118"/>
      <c r="G41" s="2"/>
      <c r="H41" s="3" t="s">
        <v>13</v>
      </c>
      <c r="I41" s="3" t="s">
        <v>13</v>
      </c>
      <c r="J41" s="9">
        <v>2000</v>
      </c>
    </row>
    <row r="42" spans="1:10" ht="19.5" customHeight="1">
      <c r="A42" s="118" t="s">
        <v>95</v>
      </c>
      <c r="B42" s="118"/>
      <c r="C42" s="118"/>
      <c r="D42" s="118"/>
      <c r="E42" s="118"/>
      <c r="F42" s="118"/>
      <c r="G42" s="2"/>
      <c r="H42" s="3">
        <v>12</v>
      </c>
      <c r="I42" s="3">
        <v>220</v>
      </c>
      <c r="J42" s="9">
        <f>I42*H42</f>
        <v>2640</v>
      </c>
    </row>
    <row r="43" spans="1:10" ht="19.5" customHeight="1">
      <c r="A43" s="118" t="s">
        <v>32</v>
      </c>
      <c r="B43" s="118"/>
      <c r="C43" s="118"/>
      <c r="D43" s="118"/>
      <c r="E43" s="118"/>
      <c r="F43" s="118"/>
      <c r="G43" s="2"/>
      <c r="H43" s="3">
        <v>12</v>
      </c>
      <c r="I43" s="3">
        <v>200</v>
      </c>
      <c r="J43" s="9">
        <f>I43*H43</f>
        <v>2400</v>
      </c>
    </row>
    <row r="44" spans="1:10" ht="19.5" customHeight="1">
      <c r="A44" s="118" t="s">
        <v>15</v>
      </c>
      <c r="B44" s="118"/>
      <c r="C44" s="118"/>
      <c r="D44" s="118"/>
      <c r="E44" s="118"/>
      <c r="F44" s="118"/>
      <c r="G44" s="2"/>
      <c r="H44" s="3">
        <v>21</v>
      </c>
      <c r="I44" s="3">
        <v>140</v>
      </c>
      <c r="J44" s="9">
        <f>I44*H44</f>
        <v>2940</v>
      </c>
    </row>
    <row r="45" spans="1:10" ht="19.5" customHeight="1">
      <c r="A45" s="118" t="s">
        <v>33</v>
      </c>
      <c r="B45" s="118"/>
      <c r="C45" s="118"/>
      <c r="D45" s="118"/>
      <c r="E45" s="118"/>
      <c r="F45" s="118"/>
      <c r="G45" s="2"/>
      <c r="H45" s="3">
        <v>4</v>
      </c>
      <c r="I45" s="3">
        <v>2100</v>
      </c>
      <c r="J45" s="9">
        <f>I45*H45</f>
        <v>8400</v>
      </c>
    </row>
    <row r="46" spans="1:10" ht="19.5" customHeight="1">
      <c r="A46" s="118" t="s">
        <v>87</v>
      </c>
      <c r="B46" s="118"/>
      <c r="C46" s="118"/>
      <c r="D46" s="118"/>
      <c r="E46" s="118"/>
      <c r="F46" s="118"/>
      <c r="G46" s="2"/>
      <c r="H46" s="3" t="s">
        <v>13</v>
      </c>
      <c r="I46" s="3" t="s">
        <v>13</v>
      </c>
      <c r="J46" s="9">
        <v>1200</v>
      </c>
    </row>
    <row r="47" spans="1:10" ht="34.5" customHeight="1">
      <c r="A47" s="173" t="s">
        <v>96</v>
      </c>
      <c r="B47" s="174"/>
      <c r="C47" s="174"/>
      <c r="D47" s="174"/>
      <c r="E47" s="174"/>
      <c r="F47" s="175"/>
      <c r="G47" s="2"/>
      <c r="H47" s="3" t="s">
        <v>13</v>
      </c>
      <c r="I47" s="3" t="s">
        <v>13</v>
      </c>
      <c r="J47" s="9">
        <v>15000</v>
      </c>
    </row>
    <row r="48" spans="1:10" ht="34.5" customHeight="1">
      <c r="A48" s="173" t="s">
        <v>97</v>
      </c>
      <c r="B48" s="174"/>
      <c r="C48" s="174"/>
      <c r="D48" s="174"/>
      <c r="E48" s="174"/>
      <c r="F48" s="175"/>
      <c r="G48" s="2"/>
      <c r="H48" s="3" t="s">
        <v>13</v>
      </c>
      <c r="I48" s="3" t="s">
        <v>13</v>
      </c>
      <c r="J48" s="9">
        <v>15000</v>
      </c>
    </row>
    <row r="49" spans="1:10" ht="34.5" customHeight="1">
      <c r="A49" s="173" t="s">
        <v>98</v>
      </c>
      <c r="B49" s="174"/>
      <c r="C49" s="174"/>
      <c r="D49" s="174"/>
      <c r="E49" s="174"/>
      <c r="F49" s="175"/>
      <c r="G49" s="2"/>
      <c r="H49" s="3" t="s">
        <v>13</v>
      </c>
      <c r="I49" s="3" t="s">
        <v>13</v>
      </c>
      <c r="J49" s="9">
        <v>15000</v>
      </c>
    </row>
    <row r="50" spans="1:10" ht="34.5" customHeight="1">
      <c r="A50" s="173" t="s">
        <v>100</v>
      </c>
      <c r="B50" s="174"/>
      <c r="C50" s="174"/>
      <c r="D50" s="174"/>
      <c r="E50" s="174"/>
      <c r="F50" s="175"/>
      <c r="G50" s="2"/>
      <c r="H50" s="3">
        <v>144</v>
      </c>
      <c r="I50" s="3">
        <v>150</v>
      </c>
      <c r="J50" s="9">
        <f>I50*H50</f>
        <v>21600</v>
      </c>
    </row>
    <row r="51" spans="1:10" ht="15.75">
      <c r="A51" s="173" t="s">
        <v>99</v>
      </c>
      <c r="B51" s="174"/>
      <c r="C51" s="174"/>
      <c r="D51" s="174"/>
      <c r="E51" s="174"/>
      <c r="F51" s="175"/>
      <c r="G51" s="2"/>
      <c r="H51" s="3">
        <v>30</v>
      </c>
      <c r="I51" s="3">
        <v>300</v>
      </c>
      <c r="J51" s="9">
        <f>I51*H51</f>
        <v>9000</v>
      </c>
    </row>
    <row r="52" spans="1:10" ht="19.5" customHeight="1">
      <c r="A52" s="118" t="s">
        <v>16</v>
      </c>
      <c r="B52" s="118"/>
      <c r="C52" s="118"/>
      <c r="D52" s="118"/>
      <c r="E52" s="118"/>
      <c r="F52" s="118"/>
      <c r="G52" s="2"/>
      <c r="H52" s="3" t="s">
        <v>13</v>
      </c>
      <c r="I52" s="3" t="s">
        <v>13</v>
      </c>
      <c r="J52" s="9">
        <v>10</v>
      </c>
    </row>
    <row r="53" spans="1:10" ht="33.75" customHeight="1">
      <c r="A53" s="118" t="s">
        <v>101</v>
      </c>
      <c r="B53" s="118"/>
      <c r="C53" s="118"/>
      <c r="D53" s="118"/>
      <c r="E53" s="118"/>
      <c r="F53" s="118"/>
      <c r="G53" s="2"/>
      <c r="H53" s="3" t="s">
        <v>13</v>
      </c>
      <c r="I53" s="3" t="s">
        <v>13</v>
      </c>
      <c r="J53" s="9">
        <v>12000</v>
      </c>
    </row>
    <row r="54" spans="1:10" ht="19.5" customHeight="1">
      <c r="A54" s="118" t="s">
        <v>61</v>
      </c>
      <c r="B54" s="118"/>
      <c r="C54" s="118"/>
      <c r="D54" s="118"/>
      <c r="E54" s="118"/>
      <c r="F54" s="118"/>
      <c r="G54" s="2"/>
      <c r="H54" s="3" t="s">
        <v>13</v>
      </c>
      <c r="I54" s="3" t="s">
        <v>13</v>
      </c>
      <c r="J54" s="9">
        <v>12000</v>
      </c>
    </row>
    <row r="55" ht="12.75">
      <c r="A55" s="12"/>
    </row>
    <row r="56" spans="1:10" ht="18.75">
      <c r="A56" s="7" t="s">
        <v>48</v>
      </c>
      <c r="B56" s="115" t="s">
        <v>17</v>
      </c>
      <c r="C56" s="115"/>
      <c r="D56" s="115"/>
      <c r="E56" s="115"/>
      <c r="F56" s="115"/>
      <c r="G56" s="115"/>
      <c r="H56" s="115"/>
      <c r="I56" s="182">
        <f>J58+J59+J60</f>
        <v>1050</v>
      </c>
      <c r="J56" s="182"/>
    </row>
    <row r="57" ht="12.75">
      <c r="A57" s="12"/>
    </row>
    <row r="58" spans="1:10" ht="18.75">
      <c r="A58" s="117" t="s">
        <v>103</v>
      </c>
      <c r="B58" s="117"/>
      <c r="C58" s="117"/>
      <c r="D58" s="117"/>
      <c r="E58" s="117"/>
      <c r="F58" s="117"/>
      <c r="G58" s="3" t="s">
        <v>13</v>
      </c>
      <c r="H58" s="3" t="s">
        <v>13</v>
      </c>
      <c r="I58" s="3" t="s">
        <v>13</v>
      </c>
      <c r="J58" s="9">
        <v>410</v>
      </c>
    </row>
    <row r="59" spans="1:10" ht="18.75">
      <c r="A59" s="117" t="s">
        <v>104</v>
      </c>
      <c r="B59" s="117"/>
      <c r="C59" s="117"/>
      <c r="D59" s="117"/>
      <c r="E59" s="117"/>
      <c r="F59" s="117"/>
      <c r="G59" s="3" t="s">
        <v>13</v>
      </c>
      <c r="H59" s="3" t="s">
        <v>13</v>
      </c>
      <c r="I59" s="3" t="s">
        <v>13</v>
      </c>
      <c r="J59" s="9">
        <v>540</v>
      </c>
    </row>
    <row r="60" spans="1:10" ht="18.75">
      <c r="A60" s="117" t="s">
        <v>102</v>
      </c>
      <c r="B60" s="117"/>
      <c r="C60" s="117"/>
      <c r="D60" s="117"/>
      <c r="E60" s="117"/>
      <c r="F60" s="117"/>
      <c r="G60" s="3" t="s">
        <v>13</v>
      </c>
      <c r="H60" s="3" t="s">
        <v>13</v>
      </c>
      <c r="I60" s="3" t="s">
        <v>13</v>
      </c>
      <c r="J60" s="9">
        <v>100</v>
      </c>
    </row>
    <row r="61" ht="12.75">
      <c r="A61" s="12"/>
    </row>
    <row r="62" spans="1:10" ht="18.75">
      <c r="A62" s="7" t="s">
        <v>49</v>
      </c>
      <c r="B62" s="115" t="str">
        <f>'[1]2013-2.2'!$B$17</f>
        <v>Видатки на відрядження</v>
      </c>
      <c r="C62" s="115"/>
      <c r="D62" s="115"/>
      <c r="E62" s="115"/>
      <c r="F62" s="115"/>
      <c r="G62" s="115"/>
      <c r="H62" s="115"/>
      <c r="I62" s="182">
        <f>J65+J66</f>
        <v>4000</v>
      </c>
      <c r="J62" s="182"/>
    </row>
    <row r="63" ht="12.75">
      <c r="A63" s="21"/>
    </row>
    <row r="64" spans="1:10" ht="25.5">
      <c r="A64" s="137" t="s">
        <v>18</v>
      </c>
      <c r="B64" s="138"/>
      <c r="C64" s="138"/>
      <c r="D64" s="138"/>
      <c r="E64" s="138"/>
      <c r="F64" s="32" t="s">
        <v>19</v>
      </c>
      <c r="H64" s="32" t="s">
        <v>59</v>
      </c>
      <c r="I64" s="32" t="s">
        <v>9</v>
      </c>
      <c r="J64" s="32" t="s">
        <v>10</v>
      </c>
    </row>
    <row r="65" spans="1:10" ht="15.75">
      <c r="A65" s="119" t="s">
        <v>34</v>
      </c>
      <c r="B65" s="120"/>
      <c r="C65" s="120"/>
      <c r="D65" s="120"/>
      <c r="E65" s="120"/>
      <c r="F65" s="3">
        <v>20</v>
      </c>
      <c r="H65" s="3">
        <v>1</v>
      </c>
      <c r="I65" s="3">
        <v>30</v>
      </c>
      <c r="J65" s="9">
        <f>I65*H65*F65</f>
        <v>600</v>
      </c>
    </row>
    <row r="66" spans="1:10" ht="15.75" customHeight="1">
      <c r="A66" s="119" t="s">
        <v>58</v>
      </c>
      <c r="B66" s="120"/>
      <c r="C66" s="120"/>
      <c r="D66" s="120"/>
      <c r="E66" s="120"/>
      <c r="F66" s="3">
        <v>20</v>
      </c>
      <c r="H66" s="3">
        <v>2</v>
      </c>
      <c r="I66" s="3">
        <v>85</v>
      </c>
      <c r="J66" s="9">
        <f>I66*H66*F66</f>
        <v>3400</v>
      </c>
    </row>
    <row r="67" ht="15.75">
      <c r="A67" s="22"/>
    </row>
    <row r="68" spans="1:10" ht="18.75">
      <c r="A68" s="7" t="s">
        <v>50</v>
      </c>
      <c r="B68" s="23" t="str">
        <f>'[1]2013-2.2'!$B$18</f>
        <v>Оплата комунальних послуг та енергоносіїв</v>
      </c>
      <c r="C68" s="14"/>
      <c r="D68" s="14"/>
      <c r="E68" s="14"/>
      <c r="F68" s="14"/>
      <c r="G68" s="14"/>
      <c r="H68" s="14"/>
      <c r="I68" s="181">
        <f>I70+I71+I72</f>
        <v>64450</v>
      </c>
      <c r="J68" s="181"/>
    </row>
    <row r="69" ht="15.75">
      <c r="A69" s="13"/>
    </row>
    <row r="70" spans="1:10" ht="18.75">
      <c r="A70" s="7" t="s">
        <v>51</v>
      </c>
      <c r="B70" s="140" t="s">
        <v>26</v>
      </c>
      <c r="C70" s="141"/>
      <c r="D70" s="141"/>
      <c r="E70" s="141"/>
      <c r="F70" s="141"/>
      <c r="G70" s="141"/>
      <c r="H70" s="142"/>
      <c r="I70" s="180">
        <f>D79</f>
        <v>43900</v>
      </c>
      <c r="J70" s="180"/>
    </row>
    <row r="71" spans="1:10" ht="18.75">
      <c r="A71" s="7" t="s">
        <v>52</v>
      </c>
      <c r="B71" s="140" t="s">
        <v>54</v>
      </c>
      <c r="C71" s="141"/>
      <c r="D71" s="141"/>
      <c r="E71" s="141"/>
      <c r="F71" s="141"/>
      <c r="G71" s="141"/>
      <c r="H71" s="142"/>
      <c r="I71" s="180">
        <f>F79+H79</f>
        <v>1950</v>
      </c>
      <c r="J71" s="180"/>
    </row>
    <row r="72" spans="1:10" ht="18.75">
      <c r="A72" s="7" t="s">
        <v>53</v>
      </c>
      <c r="B72" s="140" t="s">
        <v>27</v>
      </c>
      <c r="C72" s="141"/>
      <c r="D72" s="141"/>
      <c r="E72" s="141"/>
      <c r="F72" s="141"/>
      <c r="G72" s="141"/>
      <c r="H72" s="142"/>
      <c r="I72" s="180">
        <f>I79</f>
        <v>18600</v>
      </c>
      <c r="J72" s="180"/>
    </row>
    <row r="73" ht="18.75">
      <c r="A73" s="24"/>
    </row>
    <row r="74" spans="1:9" s="1" customFormat="1" ht="37.5" customHeight="1">
      <c r="A74" s="156" t="s">
        <v>20</v>
      </c>
      <c r="B74" s="157"/>
      <c r="C74" s="158"/>
      <c r="D74" s="131" t="s">
        <v>55</v>
      </c>
      <c r="E74" s="131"/>
      <c r="F74" s="131" t="s">
        <v>110</v>
      </c>
      <c r="G74" s="131"/>
      <c r="H74" s="131"/>
      <c r="I74" s="133" t="s">
        <v>56</v>
      </c>
    </row>
    <row r="75" spans="1:9" s="1" customFormat="1" ht="25.5">
      <c r="A75" s="159"/>
      <c r="B75" s="160"/>
      <c r="C75" s="161"/>
      <c r="D75" s="16" t="s">
        <v>36</v>
      </c>
      <c r="E75" s="16" t="s">
        <v>22</v>
      </c>
      <c r="F75" s="131" t="s">
        <v>23</v>
      </c>
      <c r="G75" s="131"/>
      <c r="H75" s="16" t="s">
        <v>24</v>
      </c>
      <c r="I75" s="133"/>
    </row>
    <row r="76" spans="1:9" s="1" customFormat="1" ht="15.75">
      <c r="A76" s="162" t="s">
        <v>108</v>
      </c>
      <c r="B76" s="162"/>
      <c r="C76" s="162"/>
      <c r="D76" s="25">
        <v>23</v>
      </c>
      <c r="E76" s="25"/>
      <c r="F76" s="132">
        <v>110</v>
      </c>
      <c r="G76" s="132"/>
      <c r="H76" s="25">
        <v>110</v>
      </c>
      <c r="I76" s="25">
        <v>7200</v>
      </c>
    </row>
    <row r="77" spans="1:9" s="1" customFormat="1" ht="45" customHeight="1">
      <c r="A77" s="162" t="s">
        <v>88</v>
      </c>
      <c r="B77" s="162"/>
      <c r="C77" s="162"/>
      <c r="D77" s="25">
        <v>1698.26</v>
      </c>
      <c r="E77" s="25"/>
      <c r="F77" s="132">
        <v>8.57</v>
      </c>
      <c r="G77" s="132"/>
      <c r="H77" s="25">
        <v>7.63</v>
      </c>
      <c r="I77" s="25">
        <v>2.3639</v>
      </c>
    </row>
    <row r="78" spans="1:9" s="27" customFormat="1" ht="81" customHeight="1">
      <c r="A78" s="125" t="s">
        <v>109</v>
      </c>
      <c r="B78" s="125"/>
      <c r="C78" s="125"/>
      <c r="D78" s="25">
        <f>ROUND(D77*1.1235,2)</f>
        <v>1908</v>
      </c>
      <c r="E78" s="26"/>
      <c r="F78" s="132">
        <f>ROUND(F77*1.085,2)</f>
        <v>9.3</v>
      </c>
      <c r="G78" s="132">
        <f>ROUND(G77*1.1016,2)</f>
        <v>0</v>
      </c>
      <c r="H78" s="25">
        <f>ROUND(H77*1.085,2)</f>
        <v>8.28</v>
      </c>
      <c r="I78" s="25">
        <f>ROUND(I77*1.09,2)</f>
        <v>2.58</v>
      </c>
    </row>
    <row r="79" spans="1:9" s="28" customFormat="1" ht="15.75">
      <c r="A79" s="126" t="s">
        <v>21</v>
      </c>
      <c r="B79" s="126"/>
      <c r="C79" s="126"/>
      <c r="D79" s="29">
        <f>ROUND(ROUNDUP(D76*D78,0)/10,0)*10+20</f>
        <v>43900</v>
      </c>
      <c r="E79" s="29">
        <f>ROUNDUP(ROUNDUP(E76*E78,0)/10,0)*10</f>
        <v>0</v>
      </c>
      <c r="F79" s="130">
        <f>ROUNDUP(ROUNDUP(F76*F78,0)/10,0)*10</f>
        <v>1030</v>
      </c>
      <c r="G79" s="130"/>
      <c r="H79" s="29">
        <f>ROUNDUP(ROUNDUP(H76*H78,0)/10,0)*10</f>
        <v>920</v>
      </c>
      <c r="I79" s="29">
        <f>ROUND(I76*I78,0)+24</f>
        <v>18600</v>
      </c>
    </row>
    <row r="80" ht="12.75">
      <c r="A80" s="21"/>
    </row>
    <row r="81" spans="1:8" ht="18.75">
      <c r="A81" s="15" t="s">
        <v>105</v>
      </c>
      <c r="H81" s="15" t="s">
        <v>106</v>
      </c>
    </row>
    <row r="82" ht="18.75">
      <c r="A82" s="15"/>
    </row>
    <row r="83" spans="1:8" ht="18.75">
      <c r="A83" s="15" t="s">
        <v>28</v>
      </c>
      <c r="H83" s="15" t="s">
        <v>29</v>
      </c>
    </row>
  </sheetData>
  <sheetProtection/>
  <mergeCells count="83">
    <mergeCell ref="A6:J6"/>
    <mergeCell ref="A7:J7"/>
    <mergeCell ref="A8:J8"/>
    <mergeCell ref="A9:J9"/>
    <mergeCell ref="J20:J21"/>
    <mergeCell ref="E20:E21"/>
    <mergeCell ref="A20:A21"/>
    <mergeCell ref="B20:B21"/>
    <mergeCell ref="C20:C21"/>
    <mergeCell ref="D20:D21"/>
    <mergeCell ref="A77:C77"/>
    <mergeCell ref="F74:H74"/>
    <mergeCell ref="A30:F30"/>
    <mergeCell ref="A35:F35"/>
    <mergeCell ref="A29:F29"/>
    <mergeCell ref="A41:F41"/>
    <mergeCell ref="A42:F42"/>
    <mergeCell ref="A32:F32"/>
    <mergeCell ref="A31:F31"/>
    <mergeCell ref="A46:F46"/>
    <mergeCell ref="I24:J24"/>
    <mergeCell ref="I26:J26"/>
    <mergeCell ref="B26:H26"/>
    <mergeCell ref="D74:E74"/>
    <mergeCell ref="A74:C75"/>
    <mergeCell ref="A76:C76"/>
    <mergeCell ref="A45:F45"/>
    <mergeCell ref="A15:J15"/>
    <mergeCell ref="I18:J18"/>
    <mergeCell ref="B18:H18"/>
    <mergeCell ref="A43:F43"/>
    <mergeCell ref="A44:F44"/>
    <mergeCell ref="A10:J10"/>
    <mergeCell ref="A11:J11"/>
    <mergeCell ref="I37:J37"/>
    <mergeCell ref="B37:H37"/>
    <mergeCell ref="A33:F33"/>
    <mergeCell ref="A52:F52"/>
    <mergeCell ref="A54:F54"/>
    <mergeCell ref="A48:F48"/>
    <mergeCell ref="A28:F28"/>
    <mergeCell ref="A13:J13"/>
    <mergeCell ref="A39:F39"/>
    <mergeCell ref="A40:F40"/>
    <mergeCell ref="A14:J14"/>
    <mergeCell ref="H16:J16"/>
    <mergeCell ref="B16:G16"/>
    <mergeCell ref="A53:F53"/>
    <mergeCell ref="A58:F58"/>
    <mergeCell ref="A59:F59"/>
    <mergeCell ref="A47:F47"/>
    <mergeCell ref="I68:J68"/>
    <mergeCell ref="I56:J56"/>
    <mergeCell ref="B56:H56"/>
    <mergeCell ref="A60:F60"/>
    <mergeCell ref="I62:J62"/>
    <mergeCell ref="B62:H62"/>
    <mergeCell ref="I71:J71"/>
    <mergeCell ref="I72:J72"/>
    <mergeCell ref="B71:H71"/>
    <mergeCell ref="B72:H72"/>
    <mergeCell ref="I70:J70"/>
    <mergeCell ref="B70:H70"/>
    <mergeCell ref="I74:I75"/>
    <mergeCell ref="B24:H24"/>
    <mergeCell ref="F20:G21"/>
    <mergeCell ref="F22:G22"/>
    <mergeCell ref="H20:I21"/>
    <mergeCell ref="H22:I22"/>
    <mergeCell ref="A64:E64"/>
    <mergeCell ref="A65:E65"/>
    <mergeCell ref="A66:E66"/>
    <mergeCell ref="A34:F34"/>
    <mergeCell ref="A49:F49"/>
    <mergeCell ref="A50:F50"/>
    <mergeCell ref="A51:F51"/>
    <mergeCell ref="F79:G79"/>
    <mergeCell ref="F75:G75"/>
    <mergeCell ref="F76:G76"/>
    <mergeCell ref="F77:G77"/>
    <mergeCell ref="F78:G78"/>
    <mergeCell ref="A78:C78"/>
    <mergeCell ref="A79:C79"/>
  </mergeCells>
  <printOptions/>
  <pageMargins left="0.6" right="0.24" top="0.55" bottom="0.41" header="0.38" footer="0.23"/>
  <pageSetup fitToHeight="10" horizontalDpi="600" verticalDpi="600" orientation="portrait" paperSize="9" r:id="rId2"/>
  <rowBreaks count="2" manualBreakCount="2">
    <brk id="36" max="9" man="1"/>
    <brk id="6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gromdepinform</cp:lastModifiedBy>
  <cp:lastPrinted>2017-05-16T10:52:09Z</cp:lastPrinted>
  <dcterms:created xsi:type="dcterms:W3CDTF">2011-09-27T18:10:14Z</dcterms:created>
  <dcterms:modified xsi:type="dcterms:W3CDTF">2017-10-05T14:48:58Z</dcterms:modified>
  <cp:category/>
  <cp:version/>
  <cp:contentType/>
  <cp:contentStatus/>
</cp:coreProperties>
</file>